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ENG. CHARLES\PAVIMENTAÇÃO\1.PROJETOS\PAVIMENTA RS - 2025\Arquivos PavimentaRS_Cândido Godói\NOVOS\"/>
    </mc:Choice>
  </mc:AlternateContent>
  <bookViews>
    <workbookView xWindow="0" yWindow="0" windowWidth="28800" windowHeight="12435" tabRatio="801" activeTab="7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BM!$C$15:$C$119</definedName>
    <definedName name="_xlnm._FilterDatabase" localSheetId="5" hidden="1">CÁLCULO!$C$15:$C$119</definedName>
    <definedName name="_xlnm._FilterDatabase" localSheetId="7" hidden="1">CRONO!$F$13:$F$84</definedName>
    <definedName name="_xlnm._FilterDatabase" localSheetId="8" hidden="1">CRONOPLE!$A$13:$A$15</definedName>
    <definedName name="_xlnm._FilterDatabase" localSheetId="4" hidden="1">ORÇAMENTO!$L$15:$L$119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BM!$D$1:$O$134</definedName>
    <definedName name="_xlnm.Print_Area" localSheetId="5">CÁLCULO!$E$1:$AA$127</definedName>
    <definedName name="_xlnm.Print_Area" localSheetId="7">CRONO!$H$1:$AF$84</definedName>
    <definedName name="_xlnm.Print_Area" localSheetId="0">MENU!$A$1:$I$25</definedName>
    <definedName name="_xlnm.Print_Area" localSheetId="13">OFÍCIO!$A$1:$G$56</definedName>
    <definedName name="_xlnm.Print_Area" localSheetId="4">ORÇAMENTO!$O$1:$Y$136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BM!$C$15:$C$119</definedName>
    <definedName name="BM.firstrow" hidden="1">BM!$15:$15</definedName>
    <definedName name="BM.FormulaMed" hidden="1">BM!$AO$7</definedName>
    <definedName name="BM.lastrow" hidden="1">BM!$119:$119</definedName>
    <definedName name="BM.LinhaPadrão" hidden="1">BM!$14:$14</definedName>
    <definedName name="BM.MaxMed" hidden="1">IF(RegimeExecucao="Global",1,BM!$G1)</definedName>
    <definedName name="BM.MCAIXA.Filter" hidden="1">BM!$C$15:$Z$119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CÁLCULO!$C$15:$C$119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CÁLCULO!$119:$119</definedName>
    <definedName name="CÁLCULO.LinhaPadrão" hidden="1">CÁLCULO!$14:$14</definedName>
    <definedName name="CÁLCULO.margemrow" hidden="1">CÁLCULO!$127:$127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CÁLCULO!$119:$119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CÁLCULO!$119:$119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CÁLCULO!$119:$119</definedName>
    <definedName name="CÁLCULO.NúmeroDeEventos" hidden="1">IF(AUTOEVENTO&lt;&gt;"manual",MAX(CÁLCULO!$M$15:$M$119),MAX(OFFSET(EVENTOS!$C$14:$C$65,1,0)))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IF(AUTOEVENTO="manual",SUMIF(CÁLCULO!$M$15:$M$119,1,ORÇAMENTO!$X$15:$X$119),0)</definedName>
    <definedName name="CRONO.ColunaPadrão" hidden="1">CRONO!$D:$D</definedName>
    <definedName name="CRONO.Filtro" hidden="1">CRONO!$F$13:$F$84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CRONO!$79:$79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CRONO!$84:$84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SUMIF(CÁLCULO!$M$15:$M$119,CRONOPLE!$B1,OFFSET(CÁLCULO!$AA$15:$AA$119,0,CRONOPLE!A$12))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BM!$D$122</definedName>
    <definedName name="Import.BMAFAcumulado" hidden="1">OFFSET(BM!$R$15,1,0):OFFSET(BM!$R$119,-1,0)</definedName>
    <definedName name="Import.BMArred" hidden="1">BM!$A$9</definedName>
    <definedName name="Import.CNPJ" hidden="1">DADOS!$F$39</definedName>
    <definedName name="Import.Código" hidden="1">OFFSET(ORÇAMENTO!$Q$15,1,0):OFFSET(ORÇAMENTO!$Q$119,-1,0)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OFFSET(ORÇAMENTO!$U$15,1,0):OFFSET(ORÇAMENTO!$U$119,-1,0)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OFFSET(ORÇAMENTO!$R$15,1,0):OFFSET(ORÇAMENTO!$R$119,-1,0)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OFFSET(ORÇAMENTO!$P$15,1,0):OFFSET(ORÇAMENTO!$P$119,-1,0)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OFFSET(ORÇAMENTO!$M$15,1,0):OFFSET(ORÇAMENTO!$M$119,-1,0)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OFFSET(ORÇAMENTO!$V$15,1,0):OFFSET(ORÇAMENTO!$V$119,-1,0)</definedName>
    <definedName name="Import.ORÇAMENTO.DivRecurso" hidden="1">OFFSET(ORÇAMENTO!$Y$15,1,0):OFFSET(ORÇAMENTO!$Y$119,-1,0)</definedName>
    <definedName name="Import.ORÇAMENTO.Obs" hidden="1">ORÇAMENTO!$O$125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OFFSET(CÁLCULO!$P$15,1,1):OFFSET(CÁLCULO!$AA$119,-1,-1)</definedName>
    <definedName name="Import.PLQ.MemCalc" hidden="1">OFFSET(CÁLCULO!$I$15,1,0):OFFSET(CÁLCULO!$I$119,-1,0)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OFFSET(ORÇAMENTO!$AJ$15,1,0):OFFSET(ORÇAMENTO!$AJ$119,-1,0)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OFFSET(ORÇAMENTO!$S$15,1,0):OFFSET(ORÇAMENTO!$S$119,-1,0)</definedName>
    <definedName name="Import.UnitarioLicitado" hidden="1">OFFSET(ORÇAMENTO!$AL$15,1,0):OFFSET(ORÇAMENTO!$AL$119,-1,0)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ORÇAMENTO!$L$15:$L$119</definedName>
    <definedName name="ORÇAMENTO.firstrow" hidden="1">ORÇAMENTO!$15:$15</definedName>
    <definedName name="ORÇAMENTO.Fonte" hidden="1">ORÇAMENTO!$P1</definedName>
    <definedName name="ORÇAMENTO.lastrow" hidden="1">ORÇAMENTO!$119:$119</definedName>
    <definedName name="ORÇAMENTO.LinhaPadrão" hidden="1">ORÇAMENTO!$14:$14</definedName>
    <definedName name="ORÇAMENTO.ListaCrono" hidden="1">OFFSET(ORÇAMENTO!$AD$15,1,0):OFFSET(ORÇAMENTO!$AD$119,-1,0)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OFFSET(ORÇAMENTO!$P$15,1,0):OFFSET(ORÇAMENTO!$S$119,-1,0)</definedName>
    <definedName name="ORÇAMENTO.PasteFormat2" hidden="1">OFFSET(ORÇAMENTO!$U$15,1,0):OFFSET(ORÇAMENTO!$V$119,-1,0)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OFFSET(ORÇAMENTO!$T$15,1,0):OFFSET(ORÇAMENTO!$T$119,-1,0)</definedName>
    <definedName name="ORÇAMENTO.SumCPMANUAL" hidden="1">SUMIF(ORÇAMENTO!$Z$15:$Z$119,"CP",ORÇAMENTO!$AA$15:$AA$119)</definedName>
    <definedName name="ORÇAMENTO.SumINVMANUAL" hidden="1">SUMIF(ORÇAMENTO!$Z$15:$Z$119,"RP",ORÇAMENTO!$X$15:$X$119)+SUMIF(ORÇAMENTO!$Z$15:$Z$119,"CP",ORÇAMENTO!$X$15:$X$119)+SUMIF(ORÇAMENTO!$Z$15:$Z$119,"OU",ORÇAMENTO!$X$15:$X$119)</definedName>
    <definedName name="ORÇAMENTO.SumOUTROSMANUAL" hidden="1">SUMIF(ORÇAMENTO!$Z$15:$Z$119,"OU",ORÇAMENTO!$AB$15:$AB$119)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SUMIF(CÁLCULO!$M$15:$M$119,PLE!$B1,OFFSET(CÁLCULO!$AA$15:$AA$119,0,PLE!A$12))</definedName>
    <definedName name="PO.ValoresBDI" hidden="1">OFFSET(ORÇAMENTO!$AH$15,1,0):OFFSET(ORÇAMENTO!$AH$119,-1,0)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52511"/>
</workbook>
</file>

<file path=xl/calcChain.xml><?xml version="1.0" encoding="utf-8"?>
<calcChain xmlns="http://schemas.openxmlformats.org/spreadsheetml/2006/main">
  <c r="H109" i="12" l="1"/>
  <c r="G109" i="12"/>
  <c r="F109" i="12"/>
  <c r="A109" i="5"/>
  <c r="H78" i="12"/>
  <c r="G78" i="12"/>
  <c r="F78" i="12"/>
  <c r="A78" i="5"/>
  <c r="H42" i="12"/>
  <c r="G42" i="12"/>
  <c r="F42" i="12"/>
  <c r="A42" i="5"/>
  <c r="H23" i="12"/>
  <c r="G23" i="12"/>
  <c r="F23" i="12"/>
  <c r="A23" i="5"/>
  <c r="H94" i="12"/>
  <c r="G94" i="12"/>
  <c r="F94" i="12"/>
  <c r="A94" i="5"/>
  <c r="H62" i="12"/>
  <c r="G62" i="12"/>
  <c r="F62" i="12"/>
  <c r="A62" i="5"/>
  <c r="H91" i="12"/>
  <c r="G91" i="12"/>
  <c r="F91" i="12"/>
  <c r="A91" i="5"/>
  <c r="H59" i="12"/>
  <c r="G59" i="12"/>
  <c r="F59" i="12"/>
  <c r="A59" i="5"/>
  <c r="H117" i="12"/>
  <c r="G117" i="12"/>
  <c r="F117" i="12"/>
  <c r="A117" i="5"/>
  <c r="H112" i="12"/>
  <c r="G112" i="12"/>
  <c r="F112" i="12"/>
  <c r="H111" i="12"/>
  <c r="G111" i="12"/>
  <c r="F111" i="12"/>
  <c r="H110" i="12"/>
  <c r="G110" i="12"/>
  <c r="F110" i="12"/>
  <c r="A112" i="5"/>
  <c r="A111" i="5"/>
  <c r="A110" i="5"/>
  <c r="H100" i="12"/>
  <c r="G100" i="12"/>
  <c r="F100" i="12"/>
  <c r="A100" i="5"/>
  <c r="H90" i="12"/>
  <c r="G90" i="12"/>
  <c r="F90" i="12"/>
  <c r="A90" i="5"/>
  <c r="H41" i="12"/>
  <c r="G41" i="12"/>
  <c r="F41" i="12"/>
  <c r="A41" i="5"/>
  <c r="H81" i="12"/>
  <c r="G81" i="12"/>
  <c r="F81" i="12"/>
  <c r="H80" i="12"/>
  <c r="G80" i="12"/>
  <c r="F80" i="12"/>
  <c r="H79" i="12"/>
  <c r="G79" i="12"/>
  <c r="F79" i="12"/>
  <c r="A81" i="5"/>
  <c r="A80" i="5"/>
  <c r="A79" i="5"/>
  <c r="H69" i="12"/>
  <c r="G69" i="12"/>
  <c r="F69" i="12"/>
  <c r="H68" i="12"/>
  <c r="G68" i="12"/>
  <c r="F68" i="12"/>
  <c r="A69" i="5"/>
  <c r="A68" i="5"/>
  <c r="H58" i="12"/>
  <c r="G58" i="12"/>
  <c r="F58" i="12"/>
  <c r="A58" i="5"/>
  <c r="H53" i="12" l="1"/>
  <c r="G53" i="12"/>
  <c r="F53" i="12"/>
  <c r="A53" i="5"/>
  <c r="H84" i="12"/>
  <c r="G84" i="12"/>
  <c r="F84" i="12"/>
  <c r="H83" i="12"/>
  <c r="G83" i="12"/>
  <c r="F83" i="12"/>
  <c r="A84" i="5"/>
  <c r="A83" i="5"/>
  <c r="H45" i="12"/>
  <c r="G45" i="12"/>
  <c r="F45" i="12"/>
  <c r="H44" i="12"/>
  <c r="G44" i="12"/>
  <c r="F44" i="12"/>
  <c r="H43" i="12"/>
  <c r="G43" i="12"/>
  <c r="F43" i="12"/>
  <c r="A45" i="5"/>
  <c r="A44" i="5"/>
  <c r="A43" i="5"/>
  <c r="H37" i="12"/>
  <c r="G37" i="12"/>
  <c r="F37" i="12"/>
  <c r="A37" i="5"/>
  <c r="H30" i="12"/>
  <c r="G30" i="12"/>
  <c r="F30" i="12"/>
  <c r="H29" i="12"/>
  <c r="G29" i="12"/>
  <c r="F29" i="12"/>
  <c r="H28" i="12"/>
  <c r="G28" i="12"/>
  <c r="F28" i="12"/>
  <c r="A30" i="5"/>
  <c r="A29" i="5"/>
  <c r="A28" i="5"/>
  <c r="H19" i="12"/>
  <c r="G19" i="12"/>
  <c r="F19" i="12"/>
  <c r="A19" i="5"/>
  <c r="H16" i="12"/>
  <c r="G16" i="12"/>
  <c r="F16" i="12"/>
  <c r="A16" i="5"/>
  <c r="H118" i="12" l="1"/>
  <c r="G118" i="12"/>
  <c r="F118" i="12"/>
  <c r="H116" i="12"/>
  <c r="G116" i="12"/>
  <c r="F116" i="12"/>
  <c r="H115" i="12"/>
  <c r="G115" i="12"/>
  <c r="F115" i="12"/>
  <c r="H114" i="12"/>
  <c r="G114" i="12"/>
  <c r="F114" i="12"/>
  <c r="H113" i="12"/>
  <c r="G113" i="12"/>
  <c r="F113" i="12"/>
  <c r="H108" i="12"/>
  <c r="G108" i="12"/>
  <c r="F108" i="12"/>
  <c r="H107" i="12"/>
  <c r="G107" i="12"/>
  <c r="F107" i="12"/>
  <c r="H106" i="12"/>
  <c r="G106" i="12"/>
  <c r="F106" i="12"/>
  <c r="A118" i="5"/>
  <c r="A116" i="5"/>
  <c r="A115" i="5"/>
  <c r="A114" i="5"/>
  <c r="A113" i="5"/>
  <c r="A108" i="5"/>
  <c r="A107" i="5"/>
  <c r="A106" i="5"/>
  <c r="H105" i="12" l="1"/>
  <c r="G105" i="12"/>
  <c r="F105" i="12"/>
  <c r="H104" i="12"/>
  <c r="G104" i="12"/>
  <c r="F104" i="12"/>
  <c r="H103" i="12"/>
  <c r="G103" i="12"/>
  <c r="F103" i="12"/>
  <c r="H102" i="12"/>
  <c r="G102" i="12"/>
  <c r="F102" i="12"/>
  <c r="H101" i="12"/>
  <c r="G101" i="12"/>
  <c r="F101" i="12"/>
  <c r="H99" i="12"/>
  <c r="G99" i="12"/>
  <c r="F99" i="12"/>
  <c r="H98" i="12"/>
  <c r="G98" i="12"/>
  <c r="F98" i="12"/>
  <c r="H97" i="12"/>
  <c r="G97" i="12"/>
  <c r="F97" i="12"/>
  <c r="H96" i="12"/>
  <c r="G96" i="12"/>
  <c r="F96" i="12"/>
  <c r="H95" i="12"/>
  <c r="G95" i="12"/>
  <c r="F95" i="12"/>
  <c r="H93" i="12"/>
  <c r="G93" i="12"/>
  <c r="F93" i="12"/>
  <c r="H92" i="12"/>
  <c r="G92" i="12"/>
  <c r="F92" i="12"/>
  <c r="H89" i="12"/>
  <c r="G89" i="12"/>
  <c r="F89" i="12"/>
  <c r="H88" i="12"/>
  <c r="G88" i="12"/>
  <c r="F88" i="12"/>
  <c r="H87" i="12"/>
  <c r="G87" i="12"/>
  <c r="F87" i="12"/>
  <c r="H86" i="12"/>
  <c r="G86" i="12"/>
  <c r="F86" i="12"/>
  <c r="H85" i="12"/>
  <c r="G85" i="12"/>
  <c r="F85" i="12"/>
  <c r="H82" i="12"/>
  <c r="G82" i="12"/>
  <c r="F82" i="12"/>
  <c r="A105" i="5"/>
  <c r="A104" i="5"/>
  <c r="A103" i="5"/>
  <c r="A102" i="5"/>
  <c r="A101" i="5"/>
  <c r="A99" i="5"/>
  <c r="A98" i="5"/>
  <c r="A97" i="5"/>
  <c r="A96" i="5"/>
  <c r="A95" i="5"/>
  <c r="A93" i="5"/>
  <c r="A92" i="5"/>
  <c r="A89" i="5"/>
  <c r="A88" i="5"/>
  <c r="A87" i="5"/>
  <c r="A86" i="5"/>
  <c r="A85" i="5"/>
  <c r="A82" i="5"/>
  <c r="H77" i="12"/>
  <c r="G77" i="12"/>
  <c r="F77" i="12"/>
  <c r="H76" i="12"/>
  <c r="G76" i="12"/>
  <c r="F76" i="12"/>
  <c r="H75" i="12"/>
  <c r="G75" i="12"/>
  <c r="F75" i="12"/>
  <c r="H74" i="12"/>
  <c r="G74" i="12"/>
  <c r="F74" i="12"/>
  <c r="H73" i="12"/>
  <c r="G73" i="12"/>
  <c r="F73" i="12"/>
  <c r="H72" i="12"/>
  <c r="G72" i="12"/>
  <c r="F72" i="12"/>
  <c r="H71" i="12"/>
  <c r="G71" i="12"/>
  <c r="F71" i="12"/>
  <c r="H70" i="12"/>
  <c r="G70" i="12"/>
  <c r="F70" i="12"/>
  <c r="H67" i="12"/>
  <c r="G67" i="12"/>
  <c r="F67" i="12"/>
  <c r="H66" i="12"/>
  <c r="G66" i="12"/>
  <c r="F66" i="12"/>
  <c r="H65" i="12"/>
  <c r="G65" i="12"/>
  <c r="F65" i="12"/>
  <c r="H64" i="12"/>
  <c r="G64" i="12"/>
  <c r="F64" i="12"/>
  <c r="H63" i="12"/>
  <c r="G63" i="12"/>
  <c r="F63" i="12"/>
  <c r="H61" i="12"/>
  <c r="G61" i="12"/>
  <c r="F61" i="12"/>
  <c r="H60" i="12"/>
  <c r="G60" i="12"/>
  <c r="F60" i="12"/>
  <c r="H57" i="12"/>
  <c r="G57" i="12"/>
  <c r="F57" i="12"/>
  <c r="H56" i="12"/>
  <c r="G56" i="12"/>
  <c r="F56" i="12"/>
  <c r="H55" i="12"/>
  <c r="G55" i="12"/>
  <c r="F55" i="12"/>
  <c r="A77" i="5"/>
  <c r="A76" i="5"/>
  <c r="A75" i="5"/>
  <c r="A74" i="5"/>
  <c r="A73" i="5"/>
  <c r="A72" i="5"/>
  <c r="A71" i="5"/>
  <c r="A70" i="5"/>
  <c r="A67" i="5"/>
  <c r="A66" i="5"/>
  <c r="A65" i="5"/>
  <c r="A64" i="5"/>
  <c r="A63" i="5"/>
  <c r="A61" i="5"/>
  <c r="A60" i="5"/>
  <c r="A57" i="5"/>
  <c r="A56" i="5"/>
  <c r="A55" i="5"/>
  <c r="H35" i="12" l="1"/>
  <c r="G35" i="12"/>
  <c r="F35" i="12"/>
  <c r="A35" i="5"/>
  <c r="H36" i="12"/>
  <c r="G36" i="12"/>
  <c r="F36" i="12"/>
  <c r="A36" i="5"/>
  <c r="H52" i="12" l="1"/>
  <c r="G52" i="12"/>
  <c r="F52" i="12"/>
  <c r="H51" i="12"/>
  <c r="G51" i="12"/>
  <c r="F51" i="12"/>
  <c r="H50" i="12"/>
  <c r="G50" i="12"/>
  <c r="F50" i="12"/>
  <c r="A52" i="5"/>
  <c r="A51" i="5"/>
  <c r="A50" i="5"/>
  <c r="H33" i="12" l="1"/>
  <c r="G33" i="12"/>
  <c r="F33" i="12"/>
  <c r="A33" i="5"/>
  <c r="H48" i="12" l="1"/>
  <c r="G48" i="12"/>
  <c r="F48" i="12"/>
  <c r="A48" i="5"/>
  <c r="H25" i="12" l="1"/>
  <c r="G25" i="12"/>
  <c r="F25" i="12"/>
  <c r="A25" i="5"/>
  <c r="H24" i="12"/>
  <c r="G24" i="12"/>
  <c r="F24" i="12"/>
  <c r="H22" i="12"/>
  <c r="G22" i="12"/>
  <c r="F22" i="12"/>
  <c r="H21" i="12"/>
  <c r="G21" i="12"/>
  <c r="F21" i="12"/>
  <c r="A24" i="5"/>
  <c r="A22" i="5"/>
  <c r="A21" i="5"/>
  <c r="H20" i="12"/>
  <c r="G20" i="12"/>
  <c r="F20" i="12"/>
  <c r="A20" i="5"/>
  <c r="H38" i="12" l="1"/>
  <c r="G38" i="12"/>
  <c r="F38" i="12"/>
  <c r="A38" i="5"/>
  <c r="H23" i="13" l="1"/>
  <c r="G23" i="13"/>
  <c r="H22" i="13"/>
  <c r="G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E22" i="13" s="1"/>
  <c r="A22" i="1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54" i="5"/>
  <c r="A49" i="5"/>
  <c r="A47" i="5"/>
  <c r="A46" i="5"/>
  <c r="A40" i="5"/>
  <c r="A39" i="5"/>
  <c r="A34" i="5"/>
  <c r="A32" i="5"/>
  <c r="A31" i="5"/>
  <c r="A27" i="5"/>
  <c r="A26" i="5"/>
  <c r="A18" i="5"/>
  <c r="A17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6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82" i="8" a="1"/>
  <c r="T125" i="6" a="1"/>
  <c r="T127" i="6" s="1"/>
  <c r="I125" i="6" a="1"/>
  <c r="I126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L39" i="13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128" i="12"/>
  <c r="E129" i="12"/>
  <c r="K131" i="12" a="1"/>
  <c r="K133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119" i="6"/>
  <c r="C119" i="6"/>
  <c r="F123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70" i="8"/>
  <c r="S75" i="8"/>
  <c r="H80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129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132" i="5"/>
  <c r="T134" i="5" a="1"/>
  <c r="T134" i="5" s="1"/>
  <c r="B1" i="10"/>
  <c r="H4" i="10"/>
  <c r="V6" i="10"/>
  <c r="AE6" i="10"/>
  <c r="B7" i="10"/>
  <c r="H7" i="10"/>
  <c r="O7" i="10"/>
  <c r="V7" i="10"/>
  <c r="AE7" i="10"/>
  <c r="F12" i="10"/>
  <c r="F11" i="10" s="1"/>
  <c r="B75" i="10"/>
  <c r="W77" i="10" a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126" i="12"/>
  <c r="I15" i="12"/>
  <c r="O15" i="12"/>
  <c r="M15" i="12"/>
  <c r="J15" i="12" s="1"/>
  <c r="O8" i="5"/>
  <c r="N9" i="10" l="1"/>
  <c r="K69" i="10"/>
  <c r="M69" i="10" s="1"/>
  <c r="O69" i="10" s="1"/>
  <c r="Q69" i="10" s="1"/>
  <c r="S69" i="10" s="1"/>
  <c r="U69" i="10" s="1"/>
  <c r="W69" i="10" s="1"/>
  <c r="Y69" i="10" s="1"/>
  <c r="AA69" i="10" s="1"/>
  <c r="AC69" i="10" s="1"/>
  <c r="AE69" i="10" s="1"/>
  <c r="A12" i="11"/>
  <c r="E12" i="13"/>
  <c r="C15" i="4"/>
  <c r="A16" i="4"/>
  <c r="A28" i="4"/>
  <c r="C27" i="4"/>
  <c r="A34" i="4"/>
  <c r="C33" i="4"/>
  <c r="C45" i="4"/>
  <c r="A46" i="4"/>
  <c r="K52" i="4"/>
  <c r="K50" i="4"/>
  <c r="K131" i="4"/>
  <c r="K130" i="4"/>
  <c r="W78" i="10"/>
  <c r="W80" i="10"/>
  <c r="C16" i="5"/>
  <c r="F63" i="7"/>
  <c r="A23" i="11"/>
  <c r="C23" i="4"/>
  <c r="A14" i="11"/>
  <c r="E16" i="13"/>
  <c r="K134" i="12"/>
  <c r="C21" i="4"/>
  <c r="C22" i="4"/>
  <c r="K132" i="4"/>
  <c r="E15" i="13"/>
  <c r="A17" i="11"/>
  <c r="E21" i="13"/>
  <c r="B39" i="14"/>
  <c r="A23" i="8"/>
  <c r="A26" i="8" s="1"/>
  <c r="F23" i="7"/>
  <c r="F17" i="7"/>
  <c r="F16" i="7"/>
  <c r="F18" i="7"/>
  <c r="F30" i="7"/>
  <c r="F36" i="7"/>
  <c r="F38" i="7"/>
  <c r="F43" i="7"/>
  <c r="F49" i="7"/>
  <c r="F50" i="7"/>
  <c r="F29" i="7"/>
  <c r="F56" i="7"/>
  <c r="F58" i="7"/>
  <c r="B19" i="10"/>
  <c r="B21" i="9"/>
  <c r="C17" i="7"/>
  <c r="F37" i="7"/>
  <c r="F57" i="7"/>
  <c r="F24" i="7"/>
  <c r="F44" i="7"/>
  <c r="F64" i="7"/>
  <c r="F31" i="7"/>
  <c r="F51" i="7"/>
  <c r="F45" i="7"/>
  <c r="F19" i="7"/>
  <c r="F39" i="7"/>
  <c r="F59" i="7"/>
  <c r="F25" i="7"/>
  <c r="F26" i="7"/>
  <c r="F46" i="7"/>
  <c r="F32" i="7"/>
  <c r="F52" i="7"/>
  <c r="F33" i="7"/>
  <c r="F53" i="7"/>
  <c r="F40" i="7"/>
  <c r="F27" i="7"/>
  <c r="F47" i="7"/>
  <c r="F20" i="7"/>
  <c r="F34" i="7"/>
  <c r="F54" i="7"/>
  <c r="F60" i="7"/>
  <c r="F21" i="7"/>
  <c r="F41" i="7"/>
  <c r="F61" i="7"/>
  <c r="F28" i="7"/>
  <c r="F48" i="7"/>
  <c r="F35" i="7"/>
  <c r="F55" i="7"/>
  <c r="F22" i="7"/>
  <c r="F42" i="7"/>
  <c r="F62" i="7"/>
  <c r="W79" i="10"/>
  <c r="K131" i="12"/>
  <c r="T136" i="5"/>
  <c r="B37" i="14"/>
  <c r="C14" i="14"/>
  <c r="O7" i="13"/>
  <c r="T126" i="6"/>
  <c r="P125" i="4"/>
  <c r="H83" i="8"/>
  <c r="I127" i="6"/>
  <c r="I125" i="6"/>
  <c r="AX12" i="6"/>
  <c r="AC13" i="6"/>
  <c r="AN13" i="6"/>
  <c r="B14" i="5"/>
  <c r="F14" i="5"/>
  <c r="I80" i="4"/>
  <c r="G15" i="9"/>
  <c r="M15" i="6"/>
  <c r="L35" i="13"/>
  <c r="F14" i="7"/>
  <c r="F15" i="7"/>
  <c r="A15" i="10" s="1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83" i="8"/>
  <c r="Z84" i="8"/>
  <c r="Z82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132" i="12"/>
  <c r="B78" i="10"/>
  <c r="F126" i="6"/>
  <c r="O135" i="5"/>
  <c r="D36" i="11"/>
  <c r="M8" i="12"/>
  <c r="AO7" i="12"/>
  <c r="AY12" i="6"/>
  <c r="W77" i="10"/>
  <c r="A4" i="4"/>
  <c r="K51" i="4"/>
  <c r="K132" i="12"/>
  <c r="S70" i="4"/>
  <c r="G5" i="5" s="1"/>
  <c r="W8" i="5" s="1"/>
  <c r="K91" i="4"/>
  <c r="T125" i="6"/>
  <c r="K90" i="4"/>
  <c r="T135" i="5"/>
  <c r="AH78" i="5" l="1"/>
  <c r="AH109" i="5"/>
  <c r="AH23" i="5"/>
  <c r="AH42" i="5"/>
  <c r="AH94" i="5"/>
  <c r="AH62" i="5"/>
  <c r="AH91" i="5"/>
  <c r="AH117" i="5"/>
  <c r="AH59" i="5"/>
  <c r="AH100" i="5"/>
  <c r="AH111" i="5"/>
  <c r="AH112" i="5"/>
  <c r="AH110" i="5"/>
  <c r="AH41" i="5"/>
  <c r="AH90" i="5"/>
  <c r="AH79" i="5"/>
  <c r="AH81" i="5"/>
  <c r="AH80" i="5"/>
  <c r="AH68" i="5"/>
  <c r="AH69" i="5"/>
  <c r="AH53" i="5"/>
  <c r="AH58" i="5"/>
  <c r="AH83" i="5"/>
  <c r="AH84" i="5"/>
  <c r="AH37" i="5"/>
  <c r="AH43" i="5"/>
  <c r="AH44" i="5"/>
  <c r="AH45" i="5"/>
  <c r="AH30" i="5"/>
  <c r="AH28" i="5"/>
  <c r="AH29" i="5"/>
  <c r="AH16" i="5"/>
  <c r="AN16" i="5" s="1"/>
  <c r="AH19" i="5"/>
  <c r="C16" i="4"/>
  <c r="A17" i="4"/>
  <c r="C34" i="4"/>
  <c r="A35" i="4"/>
  <c r="A29" i="4"/>
  <c r="C28" i="4"/>
  <c r="A47" i="4"/>
  <c r="C46" i="4"/>
  <c r="A29" i="8"/>
  <c r="B16" i="6"/>
  <c r="A16" i="6" s="1"/>
  <c r="H16" i="5"/>
  <c r="G16" i="5"/>
  <c r="W16" i="5"/>
  <c r="F16" i="5"/>
  <c r="B16" i="5"/>
  <c r="C17" i="5" s="1"/>
  <c r="AE16" i="5"/>
  <c r="N16" i="5"/>
  <c r="I16" i="5"/>
  <c r="A16" i="12"/>
  <c r="AH108" i="5"/>
  <c r="AH116" i="5"/>
  <c r="AH114" i="5"/>
  <c r="AH106" i="5"/>
  <c r="AH107" i="5"/>
  <c r="AH113" i="5"/>
  <c r="AH115" i="5"/>
  <c r="AH118" i="5"/>
  <c r="AH105" i="5"/>
  <c r="AH103" i="5"/>
  <c r="AH101" i="5"/>
  <c r="AH98" i="5"/>
  <c r="AH96" i="5"/>
  <c r="AH93" i="5"/>
  <c r="AH88" i="5"/>
  <c r="AH85" i="5"/>
  <c r="AH104" i="5"/>
  <c r="AH102" i="5"/>
  <c r="AH99" i="5"/>
  <c r="AH97" i="5"/>
  <c r="AH95" i="5"/>
  <c r="AH92" i="5"/>
  <c r="AH89" i="5"/>
  <c r="AH87" i="5"/>
  <c r="AH86" i="5"/>
  <c r="AH82" i="5"/>
  <c r="AH77" i="5"/>
  <c r="AH76" i="5"/>
  <c r="AH74" i="5"/>
  <c r="AH67" i="5"/>
  <c r="AH75" i="5"/>
  <c r="AH71" i="5"/>
  <c r="AH64" i="5"/>
  <c r="AH73" i="5"/>
  <c r="AH57" i="5"/>
  <c r="AH56" i="5"/>
  <c r="AH66" i="5"/>
  <c r="AH65" i="5"/>
  <c r="AH60" i="5"/>
  <c r="AH70" i="5"/>
  <c r="AH72" i="5"/>
  <c r="AH61" i="5"/>
  <c r="AH55" i="5"/>
  <c r="AH63" i="5"/>
  <c r="AH36" i="5"/>
  <c r="AH35" i="5"/>
  <c r="AH51" i="5"/>
  <c r="AH50" i="5"/>
  <c r="AH52" i="5"/>
  <c r="AH48" i="5"/>
  <c r="AH33" i="5"/>
  <c r="AH25" i="5"/>
  <c r="AH20" i="5"/>
  <c r="AH22" i="5"/>
  <c r="AH21" i="5"/>
  <c r="AH24" i="5"/>
  <c r="AH38" i="5"/>
  <c r="E16" i="5"/>
  <c r="B42" i="14"/>
  <c r="B17" i="7"/>
  <c r="C18" i="7"/>
  <c r="B22" i="9"/>
  <c r="B20" i="10"/>
  <c r="E17" i="12"/>
  <c r="AD16" i="5"/>
  <c r="AH49" i="5"/>
  <c r="AH46" i="5"/>
  <c r="AH40" i="5"/>
  <c r="AH26" i="5"/>
  <c r="AH39" i="5"/>
  <c r="AH47" i="5"/>
  <c r="AH54" i="5"/>
  <c r="AH17" i="5"/>
  <c r="AN17" i="5" s="1"/>
  <c r="AH32" i="5"/>
  <c r="AH18" i="5"/>
  <c r="AH34" i="5"/>
  <c r="AH27" i="5"/>
  <c r="AH31" i="5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C17" i="4" l="1"/>
  <c r="A18" i="4"/>
  <c r="A30" i="4"/>
  <c r="C29" i="4"/>
  <c r="C47" i="4"/>
  <c r="A48" i="4"/>
  <c r="C18" i="5"/>
  <c r="W17" i="5"/>
  <c r="H17" i="12" s="1"/>
  <c r="B17" i="5"/>
  <c r="G17" i="5"/>
  <c r="H17" i="5"/>
  <c r="A17" i="12"/>
  <c r="AE17" i="5"/>
  <c r="B17" i="6"/>
  <c r="A17" i="6" s="1"/>
  <c r="N17" i="5"/>
  <c r="D17" i="6" s="1"/>
  <c r="I17" i="5"/>
  <c r="F17" i="5"/>
  <c r="A32" i="8"/>
  <c r="E16" i="12"/>
  <c r="F16" i="6"/>
  <c r="E17" i="5"/>
  <c r="D16" i="6"/>
  <c r="A14" i="13"/>
  <c r="B14" i="11"/>
  <c r="G14" i="11" s="1"/>
  <c r="F14" i="13" s="1"/>
  <c r="F17" i="6"/>
  <c r="AD17" i="5"/>
  <c r="C19" i="7"/>
  <c r="B18" i="7"/>
  <c r="B21" i="10"/>
  <c r="B23" i="9"/>
  <c r="AE13" i="6"/>
  <c r="AF13" i="6" s="1"/>
  <c r="AD12" i="6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E18" i="5" l="1"/>
  <c r="B18" i="5"/>
  <c r="G18" i="5"/>
  <c r="H18" i="5"/>
  <c r="AD18" i="5"/>
  <c r="AE18" i="5"/>
  <c r="N18" i="5"/>
  <c r="D18" i="6" s="1"/>
  <c r="H18" i="6" s="1"/>
  <c r="F18" i="5"/>
  <c r="A18" i="12"/>
  <c r="D18" i="5"/>
  <c r="B18" i="12" s="1"/>
  <c r="J18" i="5"/>
  <c r="K18" i="5"/>
  <c r="B18" i="6"/>
  <c r="C19" i="5"/>
  <c r="AZ17" i="6"/>
  <c r="BB17" i="6"/>
  <c r="BA17" i="6"/>
  <c r="AU17" i="6"/>
  <c r="C18" i="4"/>
  <c r="A19" i="4"/>
  <c r="C19" i="4" s="1"/>
  <c r="A31" i="4"/>
  <c r="C31" i="4" s="1"/>
  <c r="C30" i="4"/>
  <c r="C48" i="4"/>
  <c r="A49" i="4"/>
  <c r="C49" i="4" s="1"/>
  <c r="G17" i="6"/>
  <c r="BE17" i="6"/>
  <c r="BC17" i="6"/>
  <c r="AV17" i="6"/>
  <c r="BG17" i="6"/>
  <c r="M17" i="6"/>
  <c r="BF17" i="6"/>
  <c r="BD17" i="6"/>
  <c r="AM17" i="6"/>
  <c r="AO17" i="6"/>
  <c r="AN17" i="6"/>
  <c r="AQ17" i="6"/>
  <c r="AP17" i="6"/>
  <c r="AR17" i="6"/>
  <c r="AS17" i="6"/>
  <c r="AT17" i="6"/>
  <c r="AX17" i="6"/>
  <c r="H17" i="6"/>
  <c r="T17" i="5" s="1"/>
  <c r="G17" i="12" s="1"/>
  <c r="AY17" i="6"/>
  <c r="N17" i="6"/>
  <c r="A35" i="8"/>
  <c r="BE16" i="6"/>
  <c r="AR16" i="6"/>
  <c r="BC16" i="6"/>
  <c r="AP16" i="6"/>
  <c r="BB16" i="6"/>
  <c r="AO16" i="6"/>
  <c r="AN16" i="6"/>
  <c r="BD16" i="6"/>
  <c r="AQ16" i="6"/>
  <c r="BA16" i="6"/>
  <c r="N16" i="6"/>
  <c r="AZ16" i="6"/>
  <c r="AM16" i="6"/>
  <c r="M16" i="6"/>
  <c r="AY16" i="6"/>
  <c r="H16" i="6"/>
  <c r="T16" i="5" s="1"/>
  <c r="AX16" i="6"/>
  <c r="G16" i="6"/>
  <c r="AV16" i="6"/>
  <c r="BF16" i="6"/>
  <c r="AU16" i="6"/>
  <c r="BG16" i="6"/>
  <c r="AT16" i="6"/>
  <c r="AS16" i="6"/>
  <c r="F21" i="6"/>
  <c r="C14" i="13"/>
  <c r="K14" i="13" s="1"/>
  <c r="K14" i="11"/>
  <c r="J14" i="13" s="1"/>
  <c r="B22" i="10"/>
  <c r="B24" i="9"/>
  <c r="C20" i="7"/>
  <c r="B19" i="7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A18" i="6" l="1"/>
  <c r="AD17" i="6"/>
  <c r="AB17" i="6"/>
  <c r="J18" i="12"/>
  <c r="L18" i="12"/>
  <c r="C20" i="5"/>
  <c r="B19" i="6"/>
  <c r="A19" i="12"/>
  <c r="B19" i="5"/>
  <c r="E19" i="5"/>
  <c r="AD19" i="5"/>
  <c r="AE19" i="5"/>
  <c r="D19" i="5"/>
  <c r="B19" i="12" s="1"/>
  <c r="H19" i="5"/>
  <c r="J19" i="5"/>
  <c r="K19" i="5"/>
  <c r="N19" i="5"/>
  <c r="G19" i="5"/>
  <c r="F19" i="5"/>
  <c r="AC17" i="6"/>
  <c r="AF16" i="6"/>
  <c r="A38" i="8"/>
  <c r="AB16" i="6"/>
  <c r="AC16" i="6"/>
  <c r="AD16" i="6"/>
  <c r="E21" i="12"/>
  <c r="C21" i="7"/>
  <c r="B20" i="7"/>
  <c r="B25" i="9"/>
  <c r="B23" i="10"/>
  <c r="AF17" i="6"/>
  <c r="G18" i="12"/>
  <c r="AO14" i="6"/>
  <c r="BD14" i="6"/>
  <c r="AQ12" i="6"/>
  <c r="AR13" i="6"/>
  <c r="AR14" i="6" s="1"/>
  <c r="BE14" i="6"/>
  <c r="AZ14" i="6"/>
  <c r="BC14" i="6"/>
  <c r="BA14" i="6"/>
  <c r="AP14" i="6"/>
  <c r="AQ14" i="6"/>
  <c r="AN14" i="6"/>
  <c r="AM14" i="6"/>
  <c r="AY14" i="6"/>
  <c r="BF14" i="6"/>
  <c r="BG14" i="6"/>
  <c r="L11" i="9"/>
  <c r="M12" i="9"/>
  <c r="BB14" i="6"/>
  <c r="L11" i="10"/>
  <c r="M12" i="10"/>
  <c r="AH13" i="6"/>
  <c r="AG12" i="6"/>
  <c r="AG16" i="6" s="1"/>
  <c r="BD12" i="6"/>
  <c r="BE13" i="6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Z101" i="4"/>
  <c r="Z64" i="4"/>
  <c r="X24" i="4"/>
  <c r="Y23" i="4"/>
  <c r="K18" i="12" l="1"/>
  <c r="N18" i="6"/>
  <c r="M18" i="6"/>
  <c r="F20" i="5"/>
  <c r="G20" i="5"/>
  <c r="B20" i="5"/>
  <c r="C21" i="5" s="1"/>
  <c r="C22" i="5" s="1"/>
  <c r="C23" i="5" s="1"/>
  <c r="H20" i="5"/>
  <c r="E20" i="5"/>
  <c r="A20" i="12"/>
  <c r="AD20" i="5"/>
  <c r="AE20" i="5"/>
  <c r="D20" i="5"/>
  <c r="B20" i="12" s="1"/>
  <c r="B20" i="6"/>
  <c r="K20" i="5"/>
  <c r="N20" i="5"/>
  <c r="D20" i="6" s="1"/>
  <c r="J20" i="5"/>
  <c r="J19" i="12"/>
  <c r="L19" i="12"/>
  <c r="K19" i="12" s="1"/>
  <c r="D19" i="6"/>
  <c r="A41" i="8"/>
  <c r="B24" i="10"/>
  <c r="B26" i="9"/>
  <c r="C22" i="7"/>
  <c r="B21" i="7"/>
  <c r="AG17" i="6"/>
  <c r="U109" i="4"/>
  <c r="K112" i="4" s="1"/>
  <c r="AS13" i="6"/>
  <c r="AR12" i="6"/>
  <c r="M11" i="10"/>
  <c r="N12" i="10"/>
  <c r="M11" i="9"/>
  <c r="N12" i="9"/>
  <c r="AH12" i="6"/>
  <c r="AH16" i="6" s="1"/>
  <c r="AI13" i="6"/>
  <c r="U29" i="4"/>
  <c r="J72" i="4"/>
  <c r="K72" i="4"/>
  <c r="BF13" i="6"/>
  <c r="BE12" i="6"/>
  <c r="B23" i="6" l="1"/>
  <c r="D23" i="5"/>
  <c r="B23" i="12" s="1"/>
  <c r="AE23" i="5"/>
  <c r="N23" i="5"/>
  <c r="AD23" i="5"/>
  <c r="A23" i="12"/>
  <c r="K23" i="5"/>
  <c r="J23" i="5"/>
  <c r="AN18" i="6"/>
  <c r="AP18" i="6"/>
  <c r="AC18" i="6"/>
  <c r="BE18" i="6"/>
  <c r="AZ18" i="6"/>
  <c r="AS18" i="6"/>
  <c r="AB18" i="6"/>
  <c r="AG18" i="6"/>
  <c r="BF18" i="6"/>
  <c r="BC18" i="6"/>
  <c r="AY18" i="6"/>
  <c r="BA18" i="6"/>
  <c r="AF18" i="6"/>
  <c r="AO18" i="6"/>
  <c r="AX18" i="6"/>
  <c r="AQ18" i="6"/>
  <c r="BD18" i="6"/>
  <c r="AD18" i="6"/>
  <c r="AM18" i="6"/>
  <c r="BB18" i="6"/>
  <c r="AR18" i="6"/>
  <c r="B21" i="6"/>
  <c r="AD21" i="5"/>
  <c r="G21" i="5"/>
  <c r="G22" i="5" s="1"/>
  <c r="G23" i="5" s="1"/>
  <c r="F21" i="5"/>
  <c r="F22" i="5" s="1"/>
  <c r="F23" i="5" s="1"/>
  <c r="E21" i="5"/>
  <c r="E22" i="5" s="1"/>
  <c r="E23" i="5" s="1"/>
  <c r="W21" i="5"/>
  <c r="AE21" i="5"/>
  <c r="N21" i="5"/>
  <c r="D21" i="6" s="1"/>
  <c r="H21" i="5"/>
  <c r="H22" i="5" s="1"/>
  <c r="H23" i="5" s="1"/>
  <c r="A21" i="12"/>
  <c r="B21" i="5"/>
  <c r="B22" i="5" s="1"/>
  <c r="B23" i="5" s="1"/>
  <c r="J20" i="12"/>
  <c r="L20" i="12"/>
  <c r="A19" i="6"/>
  <c r="H19" i="6"/>
  <c r="H20" i="6"/>
  <c r="T20" i="5" s="1"/>
  <c r="A44" i="8"/>
  <c r="C24" i="5"/>
  <c r="J22" i="5"/>
  <c r="AD22" i="5"/>
  <c r="B22" i="6"/>
  <c r="N22" i="5"/>
  <c r="D22" i="6" s="1"/>
  <c r="H22" i="6" s="1"/>
  <c r="T22" i="5" s="1"/>
  <c r="AE22" i="5"/>
  <c r="D22" i="5"/>
  <c r="B22" i="12" s="1"/>
  <c r="A22" i="12"/>
  <c r="K22" i="5"/>
  <c r="E25" i="12"/>
  <c r="F25" i="6"/>
  <c r="B27" i="9"/>
  <c r="B22" i="7"/>
  <c r="C23" i="7"/>
  <c r="B25" i="10"/>
  <c r="G26" i="12"/>
  <c r="AH17" i="6"/>
  <c r="AH18" i="6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F12" i="6"/>
  <c r="J23" i="12" l="1"/>
  <c r="L23" i="12"/>
  <c r="K23" i="12" s="1"/>
  <c r="D23" i="6"/>
  <c r="K20" i="12"/>
  <c r="M21" i="6"/>
  <c r="G21" i="6"/>
  <c r="H21" i="6"/>
  <c r="BD21" i="6"/>
  <c r="AN21" i="6"/>
  <c r="AQ21" i="6"/>
  <c r="AZ21" i="6"/>
  <c r="BC21" i="6"/>
  <c r="AM21" i="6"/>
  <c r="AP21" i="6"/>
  <c r="BF21" i="6"/>
  <c r="AY21" i="6"/>
  <c r="AS21" i="6"/>
  <c r="BB21" i="6"/>
  <c r="AO21" i="6"/>
  <c r="BE21" i="6"/>
  <c r="AR21" i="6"/>
  <c r="AX21" i="6"/>
  <c r="BA21" i="6"/>
  <c r="A20" i="6"/>
  <c r="M19" i="6"/>
  <c r="AH19" i="6" s="1"/>
  <c r="N19" i="6"/>
  <c r="T19" i="5"/>
  <c r="AI16" i="6"/>
  <c r="A47" i="8"/>
  <c r="F24" i="5"/>
  <c r="E24" i="5"/>
  <c r="AD24" i="5"/>
  <c r="K24" i="5"/>
  <c r="N24" i="5"/>
  <c r="D24" i="6" s="1"/>
  <c r="H24" i="6" s="1"/>
  <c r="T24" i="5" s="1"/>
  <c r="D24" i="5"/>
  <c r="B24" i="12" s="1"/>
  <c r="AE24" i="5"/>
  <c r="B24" i="6"/>
  <c r="A24" i="12"/>
  <c r="J24" i="5"/>
  <c r="H24" i="5"/>
  <c r="L22" i="12"/>
  <c r="J22" i="12"/>
  <c r="G24" i="5"/>
  <c r="B24" i="5"/>
  <c r="C25" i="5" s="1"/>
  <c r="AT21" i="6"/>
  <c r="BG21" i="6"/>
  <c r="B26" i="10"/>
  <c r="B23" i="7"/>
  <c r="C24" i="7"/>
  <c r="B28" i="9"/>
  <c r="AI17" i="6"/>
  <c r="AI18" i="6"/>
  <c r="AT18" i="6"/>
  <c r="BG18" i="6"/>
  <c r="AT12" i="6"/>
  <c r="AU13" i="6"/>
  <c r="AT14" i="6"/>
  <c r="P12" i="10"/>
  <c r="O11" i="10"/>
  <c r="O11" i="9"/>
  <c r="P12" i="9"/>
  <c r="AJ12" i="6"/>
  <c r="AK13" i="6"/>
  <c r="AK12" i="6" s="1"/>
  <c r="BG12" i="6"/>
  <c r="H23" i="6" l="1"/>
  <c r="T23" i="5" s="1"/>
  <c r="AH21" i="6"/>
  <c r="AF21" i="6"/>
  <c r="AD21" i="6"/>
  <c r="AC19" i="6"/>
  <c r="AG21" i="6"/>
  <c r="AI21" i="6"/>
  <c r="AC21" i="6"/>
  <c r="T21" i="5"/>
  <c r="M20" i="6"/>
  <c r="AU20" i="6" s="1"/>
  <c r="N20" i="6"/>
  <c r="A21" i="6"/>
  <c r="BG19" i="6"/>
  <c r="BB19" i="6"/>
  <c r="AY19" i="6"/>
  <c r="AU19" i="6"/>
  <c r="AR19" i="6"/>
  <c r="AO19" i="6"/>
  <c r="AG19" i="6"/>
  <c r="AD19" i="6"/>
  <c r="AB19" i="6"/>
  <c r="BE19" i="6"/>
  <c r="BC19" i="6"/>
  <c r="AZ19" i="6"/>
  <c r="AS19" i="6"/>
  <c r="AN19" i="6"/>
  <c r="BF19" i="6"/>
  <c r="BD19" i="6"/>
  <c r="BA19" i="6"/>
  <c r="AX19" i="6"/>
  <c r="AT19" i="6"/>
  <c r="AQ19" i="6"/>
  <c r="AP19" i="6"/>
  <c r="AM19" i="6"/>
  <c r="AB21" i="6"/>
  <c r="AF19" i="6"/>
  <c r="AI19" i="6"/>
  <c r="AJ16" i="6"/>
  <c r="AJ19" i="6"/>
  <c r="AK16" i="6"/>
  <c r="AK19" i="6"/>
  <c r="A50" i="8"/>
  <c r="K22" i="12"/>
  <c r="J24" i="12"/>
  <c r="L24" i="12"/>
  <c r="W25" i="5"/>
  <c r="B25" i="5"/>
  <c r="G25" i="5"/>
  <c r="AE25" i="5"/>
  <c r="N25" i="5"/>
  <c r="D25" i="6" s="1"/>
  <c r="AP25" i="6" s="1"/>
  <c r="AD25" i="5"/>
  <c r="A25" i="12"/>
  <c r="C26" i="5"/>
  <c r="B25" i="6"/>
  <c r="A25" i="6" s="1"/>
  <c r="H25" i="5"/>
  <c r="F25" i="5"/>
  <c r="E25" i="5"/>
  <c r="AJ21" i="6"/>
  <c r="AK21" i="6"/>
  <c r="AU21" i="6"/>
  <c r="C25" i="7"/>
  <c r="B24" i="7"/>
  <c r="B27" i="10"/>
  <c r="B29" i="9"/>
  <c r="AK17" i="6"/>
  <c r="AK18" i="6"/>
  <c r="G27" i="12"/>
  <c r="AJ17" i="6"/>
  <c r="AJ18" i="6"/>
  <c r="AU18" i="6"/>
  <c r="AU12" i="6"/>
  <c r="AV13" i="6"/>
  <c r="AV19" i="6" s="1"/>
  <c r="AU14" i="6"/>
  <c r="Q12" i="9"/>
  <c r="P11" i="9"/>
  <c r="Q12" i="10"/>
  <c r="P11" i="10"/>
  <c r="AK20" i="6" l="1"/>
  <c r="AJ20" i="6"/>
  <c r="N21" i="6"/>
  <c r="A22" i="6"/>
  <c r="AI20" i="6"/>
  <c r="BG20" i="6"/>
  <c r="AT20" i="6"/>
  <c r="AS20" i="6"/>
  <c r="AG20" i="6"/>
  <c r="AD20" i="6"/>
  <c r="AQ20" i="6"/>
  <c r="BA20" i="6"/>
  <c r="AP20" i="6"/>
  <c r="BD20" i="6"/>
  <c r="AO20" i="6"/>
  <c r="AH20" i="6"/>
  <c r="BF20" i="6"/>
  <c r="AC20" i="6"/>
  <c r="AN20" i="6"/>
  <c r="AM20" i="6"/>
  <c r="AB20" i="6"/>
  <c r="AZ20" i="6"/>
  <c r="AR20" i="6"/>
  <c r="AY20" i="6"/>
  <c r="BC20" i="6"/>
  <c r="AX20" i="6"/>
  <c r="BE20" i="6"/>
  <c r="AF20" i="6"/>
  <c r="BB20" i="6"/>
  <c r="A53" i="8"/>
  <c r="K24" i="12"/>
  <c r="AN25" i="6"/>
  <c r="AR25" i="6"/>
  <c r="AT25" i="6"/>
  <c r="AZ25" i="6"/>
  <c r="BC25" i="6"/>
  <c r="AY25" i="6"/>
  <c r="H26" i="5"/>
  <c r="D26" i="5"/>
  <c r="B26" i="12" s="1"/>
  <c r="AD26" i="5"/>
  <c r="E26" i="5"/>
  <c r="B26" i="5"/>
  <c r="AE26" i="5"/>
  <c r="F26" i="5"/>
  <c r="A26" i="12"/>
  <c r="G26" i="5"/>
  <c r="N26" i="5"/>
  <c r="D26" i="6" s="1"/>
  <c r="K26" i="5"/>
  <c r="J26" i="5"/>
  <c r="B26" i="6"/>
  <c r="BG25" i="6"/>
  <c r="BB25" i="6"/>
  <c r="BD25" i="6"/>
  <c r="N25" i="6"/>
  <c r="M25" i="6"/>
  <c r="AS25" i="6" s="1"/>
  <c r="H25" i="6"/>
  <c r="G25" i="6"/>
  <c r="AO25" i="6"/>
  <c r="BF25" i="6"/>
  <c r="AX25" i="6"/>
  <c r="AQ25" i="6"/>
  <c r="AM25" i="6"/>
  <c r="AU25" i="6"/>
  <c r="BE25" i="6"/>
  <c r="BA25" i="6"/>
  <c r="AV25" i="6"/>
  <c r="AV20" i="6"/>
  <c r="AV21" i="6"/>
  <c r="B30" i="9"/>
  <c r="B28" i="10"/>
  <c r="C26" i="7"/>
  <c r="B25" i="7"/>
  <c r="AV18" i="6"/>
  <c r="AV12" i="6"/>
  <c r="AV14" i="6"/>
  <c r="Q11" i="10"/>
  <c r="R12" i="10"/>
  <c r="R12" i="9"/>
  <c r="Q11" i="9"/>
  <c r="M22" i="6" l="1"/>
  <c r="AV22" i="6" s="1"/>
  <c r="N22" i="6"/>
  <c r="A56" i="8"/>
  <c r="AB25" i="6"/>
  <c r="AI25" i="6"/>
  <c r="AD25" i="6"/>
  <c r="H26" i="6"/>
  <c r="T26" i="5" s="1"/>
  <c r="T25" i="5"/>
  <c r="AF25" i="6"/>
  <c r="AJ25" i="6"/>
  <c r="AG25" i="6"/>
  <c r="AC25" i="6"/>
  <c r="AH25" i="6"/>
  <c r="J26" i="12"/>
  <c r="L26" i="12"/>
  <c r="AK25" i="6"/>
  <c r="A26" i="6"/>
  <c r="N26" i="6" s="1"/>
  <c r="B29" i="10"/>
  <c r="C27" i="7"/>
  <c r="B26" i="7"/>
  <c r="B31" i="9"/>
  <c r="G31" i="12"/>
  <c r="R11" i="9"/>
  <c r="S12" i="9"/>
  <c r="R11" i="10"/>
  <c r="S12" i="10"/>
  <c r="A23" i="6" l="1"/>
  <c r="AP22" i="6"/>
  <c r="AN22" i="6"/>
  <c r="AI22" i="6"/>
  <c r="AR22" i="6"/>
  <c r="BC22" i="6"/>
  <c r="AY22" i="6"/>
  <c r="BD22" i="6"/>
  <c r="BA22" i="6"/>
  <c r="AQ22" i="6"/>
  <c r="AZ22" i="6"/>
  <c r="AS22" i="6"/>
  <c r="AH22" i="6"/>
  <c r="AX22" i="6"/>
  <c r="BF22" i="6"/>
  <c r="AB22" i="6"/>
  <c r="AO22" i="6"/>
  <c r="BE22" i="6"/>
  <c r="AM22" i="6"/>
  <c r="AD22" i="6"/>
  <c r="AJ22" i="6"/>
  <c r="AG22" i="6"/>
  <c r="AC22" i="6"/>
  <c r="BG22" i="6"/>
  <c r="AK22" i="6"/>
  <c r="AT22" i="6"/>
  <c r="AF22" i="6"/>
  <c r="BB22" i="6"/>
  <c r="AU22" i="6"/>
  <c r="A59" i="8"/>
  <c r="C27" i="5"/>
  <c r="C28" i="5" s="1"/>
  <c r="K26" i="12"/>
  <c r="B30" i="10"/>
  <c r="B32" i="9"/>
  <c r="C28" i="7"/>
  <c r="B27" i="7"/>
  <c r="T12" i="10"/>
  <c r="S11" i="10"/>
  <c r="S11" i="9"/>
  <c r="T12" i="9"/>
  <c r="N23" i="6" l="1"/>
  <c r="M23" i="6"/>
  <c r="A24" i="6"/>
  <c r="AD28" i="5"/>
  <c r="D28" i="5"/>
  <c r="B28" i="12" s="1"/>
  <c r="K28" i="5"/>
  <c r="N28" i="5"/>
  <c r="AE28" i="5"/>
  <c r="J28" i="5"/>
  <c r="C29" i="5"/>
  <c r="A28" i="12"/>
  <c r="B28" i="6"/>
  <c r="A62" i="8"/>
  <c r="F27" i="5"/>
  <c r="F28" i="5" s="1"/>
  <c r="A27" i="12"/>
  <c r="B27" i="6"/>
  <c r="AD27" i="5"/>
  <c r="D27" i="5"/>
  <c r="B27" i="12" s="1"/>
  <c r="H27" i="5"/>
  <c r="H28" i="5" s="1"/>
  <c r="AE27" i="5"/>
  <c r="K27" i="5"/>
  <c r="J27" i="5"/>
  <c r="B27" i="5"/>
  <c r="B28" i="5" s="1"/>
  <c r="G27" i="5"/>
  <c r="G28" i="5" s="1"/>
  <c r="E27" i="5"/>
  <c r="E28" i="5" s="1"/>
  <c r="N27" i="5"/>
  <c r="D27" i="6" s="1"/>
  <c r="B33" i="9"/>
  <c r="C29" i="7"/>
  <c r="B28" i="7"/>
  <c r="B31" i="10"/>
  <c r="G32" i="12"/>
  <c r="U12" i="10"/>
  <c r="T11" i="10"/>
  <c r="T11" i="9"/>
  <c r="U12" i="9"/>
  <c r="M24" i="6" l="1"/>
  <c r="N24" i="6"/>
  <c r="BE23" i="6"/>
  <c r="BA23" i="6"/>
  <c r="AO23" i="6"/>
  <c r="AR23" i="6"/>
  <c r="AN23" i="6"/>
  <c r="AX23" i="6"/>
  <c r="AV23" i="6"/>
  <c r="BD23" i="6"/>
  <c r="AZ23" i="6"/>
  <c r="AQ23" i="6"/>
  <c r="AM23" i="6"/>
  <c r="AU23" i="6"/>
  <c r="BC23" i="6"/>
  <c r="AS23" i="6"/>
  <c r="BF23" i="6"/>
  <c r="AF23" i="6"/>
  <c r="AP23" i="6"/>
  <c r="AY23" i="6"/>
  <c r="BG23" i="6"/>
  <c r="AB23" i="6"/>
  <c r="AT23" i="6"/>
  <c r="BB23" i="6"/>
  <c r="AG23" i="6"/>
  <c r="AK23" i="6"/>
  <c r="AC23" i="6"/>
  <c r="AH23" i="6"/>
  <c r="AD23" i="6"/>
  <c r="AI23" i="6"/>
  <c r="AJ23" i="6"/>
  <c r="D28" i="6"/>
  <c r="F29" i="5"/>
  <c r="K29" i="5"/>
  <c r="N29" i="5"/>
  <c r="AE29" i="5"/>
  <c r="B29" i="5"/>
  <c r="E29" i="5"/>
  <c r="H29" i="5"/>
  <c r="J29" i="5"/>
  <c r="D29" i="5"/>
  <c r="B29" i="12" s="1"/>
  <c r="G29" i="5"/>
  <c r="AD29" i="5"/>
  <c r="C30" i="5"/>
  <c r="B29" i="6"/>
  <c r="A29" i="12"/>
  <c r="L28" i="12"/>
  <c r="J28" i="12"/>
  <c r="A65" i="8"/>
  <c r="A27" i="6"/>
  <c r="J27" i="12"/>
  <c r="L27" i="12"/>
  <c r="H27" i="6"/>
  <c r="T27" i="5" s="1"/>
  <c r="B34" i="9"/>
  <c r="B32" i="10"/>
  <c r="B29" i="7"/>
  <c r="C30" i="7"/>
  <c r="G34" i="12"/>
  <c r="V12" i="10"/>
  <c r="U11" i="10"/>
  <c r="V12" i="9"/>
  <c r="U11" i="9"/>
  <c r="BB24" i="6" l="1"/>
  <c r="AI24" i="6"/>
  <c r="AV24" i="6"/>
  <c r="AH24" i="6"/>
  <c r="AR24" i="6"/>
  <c r="AD24" i="6"/>
  <c r="BA24" i="6"/>
  <c r="BG24" i="6"/>
  <c r="AB24" i="6"/>
  <c r="AP24" i="6"/>
  <c r="AS24" i="6"/>
  <c r="AM24" i="6"/>
  <c r="M26" i="6"/>
  <c r="AX24" i="6"/>
  <c r="AF24" i="6"/>
  <c r="AN24" i="6"/>
  <c r="AT24" i="6"/>
  <c r="AJ24" i="6"/>
  <c r="AG24" i="6"/>
  <c r="AZ24" i="6"/>
  <c r="AO24" i="6"/>
  <c r="AK24" i="6"/>
  <c r="BE24" i="6"/>
  <c r="AQ24" i="6"/>
  <c r="BD24" i="6"/>
  <c r="AY24" i="6"/>
  <c r="AC24" i="6"/>
  <c r="AU24" i="6"/>
  <c r="BC24" i="6"/>
  <c r="BF24" i="6"/>
  <c r="H28" i="6"/>
  <c r="D29" i="6"/>
  <c r="C31" i="5"/>
  <c r="G30" i="5"/>
  <c r="J30" i="5"/>
  <c r="N30" i="5"/>
  <c r="AE30" i="5"/>
  <c r="B30" i="5"/>
  <c r="F30" i="5"/>
  <c r="K30" i="5"/>
  <c r="D30" i="5"/>
  <c r="B30" i="12" s="1"/>
  <c r="AD30" i="5"/>
  <c r="E30" i="5"/>
  <c r="H30" i="5"/>
  <c r="B30" i="6"/>
  <c r="A30" i="12"/>
  <c r="J29" i="12"/>
  <c r="L29" i="12"/>
  <c r="K28" i="12"/>
  <c r="N27" i="6"/>
  <c r="A28" i="6"/>
  <c r="K27" i="12"/>
  <c r="M27" i="6"/>
  <c r="B33" i="10"/>
  <c r="B35" i="9"/>
  <c r="B30" i="7"/>
  <c r="C31" i="7"/>
  <c r="W12" i="9"/>
  <c r="V11" i="9"/>
  <c r="W12" i="10"/>
  <c r="V11" i="10"/>
  <c r="AX26" i="6" l="1"/>
  <c r="AZ26" i="6"/>
  <c r="AQ26" i="6"/>
  <c r="AG26" i="6"/>
  <c r="AI26" i="6"/>
  <c r="AR26" i="6"/>
  <c r="AH26" i="6"/>
  <c r="BG26" i="6"/>
  <c r="BB26" i="6"/>
  <c r="BF26" i="6"/>
  <c r="BC26" i="6"/>
  <c r="AP26" i="6"/>
  <c r="BD26" i="6"/>
  <c r="AT26" i="6"/>
  <c r="AM26" i="6"/>
  <c r="AF26" i="6"/>
  <c r="AU26" i="6"/>
  <c r="BE26" i="6"/>
  <c r="AS26" i="6"/>
  <c r="AC26" i="6"/>
  <c r="AD26" i="6"/>
  <c r="BA26" i="6"/>
  <c r="AN26" i="6"/>
  <c r="AO26" i="6"/>
  <c r="AJ26" i="6"/>
  <c r="AK26" i="6"/>
  <c r="AV26" i="6"/>
  <c r="AB26" i="6"/>
  <c r="AY26" i="6"/>
  <c r="K29" i="12"/>
  <c r="M28" i="6"/>
  <c r="N28" i="6"/>
  <c r="H29" i="6"/>
  <c r="F31" i="5"/>
  <c r="H31" i="5"/>
  <c r="G31" i="5"/>
  <c r="A31" i="12"/>
  <c r="AD31" i="5"/>
  <c r="AE31" i="5"/>
  <c r="K31" i="5"/>
  <c r="C32" i="5"/>
  <c r="J31" i="5"/>
  <c r="B31" i="5"/>
  <c r="B31" i="6"/>
  <c r="D31" i="5"/>
  <c r="B31" i="12" s="1"/>
  <c r="E31" i="5"/>
  <c r="N31" i="5"/>
  <c r="D31" i="6" s="1"/>
  <c r="D30" i="6"/>
  <c r="J30" i="12"/>
  <c r="L30" i="12"/>
  <c r="A29" i="6"/>
  <c r="T28" i="5"/>
  <c r="AC27" i="6"/>
  <c r="AN27" i="6"/>
  <c r="BF27" i="6"/>
  <c r="BG27" i="6"/>
  <c r="AM27" i="6"/>
  <c r="AD27" i="6"/>
  <c r="AU27" i="6"/>
  <c r="AF27" i="6"/>
  <c r="AZ27" i="6"/>
  <c r="AB27" i="6"/>
  <c r="BA27" i="6"/>
  <c r="AT27" i="6"/>
  <c r="BC27" i="6"/>
  <c r="AR27" i="6"/>
  <c r="BD27" i="6"/>
  <c r="AK27" i="6"/>
  <c r="AS27" i="6"/>
  <c r="BE27" i="6"/>
  <c r="AQ27" i="6"/>
  <c r="AO27" i="6"/>
  <c r="AP27" i="6"/>
  <c r="AY27" i="6"/>
  <c r="AG27" i="6"/>
  <c r="BB27" i="6"/>
  <c r="AJ27" i="6"/>
  <c r="AI27" i="6"/>
  <c r="AX27" i="6"/>
  <c r="AH27" i="6"/>
  <c r="AV27" i="6"/>
  <c r="C32" i="7"/>
  <c r="B31" i="7"/>
  <c r="B36" i="9"/>
  <c r="B34" i="10"/>
  <c r="W11" i="10"/>
  <c r="X12" i="10"/>
  <c r="W11" i="9"/>
  <c r="X12" i="9"/>
  <c r="AH28" i="6" l="1"/>
  <c r="AC28" i="6"/>
  <c r="AG28" i="6"/>
  <c r="BG28" i="6"/>
  <c r="BF28" i="6"/>
  <c r="BE28" i="6"/>
  <c r="AZ28" i="6"/>
  <c r="AV28" i="6"/>
  <c r="AS28" i="6"/>
  <c r="AO28" i="6"/>
  <c r="BB28" i="6"/>
  <c r="AT28" i="6"/>
  <c r="AN28" i="6"/>
  <c r="AI28" i="6"/>
  <c r="AD28" i="6"/>
  <c r="BA28" i="6"/>
  <c r="AX28" i="6"/>
  <c r="AR28" i="6"/>
  <c r="AK28" i="6"/>
  <c r="AB28" i="6"/>
  <c r="BD28" i="6"/>
  <c r="AY28" i="6"/>
  <c r="AJ28" i="6"/>
  <c r="AF28" i="6"/>
  <c r="BC28" i="6"/>
  <c r="AU28" i="6"/>
  <c r="AP28" i="6"/>
  <c r="AQ28" i="6"/>
  <c r="AM28" i="6"/>
  <c r="K30" i="12"/>
  <c r="J31" i="12"/>
  <c r="L31" i="12"/>
  <c r="A32" i="12"/>
  <c r="B32" i="5"/>
  <c r="K32" i="5"/>
  <c r="H32" i="5"/>
  <c r="E32" i="5"/>
  <c r="AD32" i="5"/>
  <c r="G32" i="5"/>
  <c r="J32" i="5"/>
  <c r="AE32" i="5"/>
  <c r="B32" i="6"/>
  <c r="D32" i="5"/>
  <c r="B32" i="12" s="1"/>
  <c r="F32" i="5"/>
  <c r="N32" i="5"/>
  <c r="D32" i="6" s="1"/>
  <c r="C33" i="5"/>
  <c r="H30" i="6"/>
  <c r="T29" i="5"/>
  <c r="H31" i="6"/>
  <c r="T31" i="5" s="1"/>
  <c r="A30" i="6"/>
  <c r="N30" i="6" s="1"/>
  <c r="M29" i="6"/>
  <c r="N29" i="6"/>
  <c r="B37" i="9"/>
  <c r="B35" i="10"/>
  <c r="B32" i="7"/>
  <c r="C33" i="7"/>
  <c r="X11" i="9"/>
  <c r="Y12" i="9"/>
  <c r="Y12" i="10"/>
  <c r="X11" i="10"/>
  <c r="K31" i="12" l="1"/>
  <c r="A31" i="6"/>
  <c r="M30" i="6"/>
  <c r="AD30" i="6" s="1"/>
  <c r="L32" i="12"/>
  <c r="J32" i="12"/>
  <c r="G33" i="5"/>
  <c r="E33" i="5"/>
  <c r="H33" i="5"/>
  <c r="K33" i="5"/>
  <c r="J33" i="5"/>
  <c r="AD33" i="5"/>
  <c r="F33" i="5"/>
  <c r="B33" i="6"/>
  <c r="N33" i="5"/>
  <c r="D33" i="6" s="1"/>
  <c r="B33" i="5"/>
  <c r="C34" i="5" s="1"/>
  <c r="D33" i="5"/>
  <c r="B33" i="12" s="1"/>
  <c r="AE33" i="5"/>
  <c r="A33" i="12"/>
  <c r="BF29" i="6"/>
  <c r="BA29" i="6"/>
  <c r="AV29" i="6"/>
  <c r="AP29" i="6"/>
  <c r="AJ29" i="6"/>
  <c r="AS29" i="6"/>
  <c r="BC29" i="6"/>
  <c r="BE29" i="6"/>
  <c r="BB29" i="6"/>
  <c r="AY29" i="6"/>
  <c r="AT29" i="6"/>
  <c r="AO29" i="6"/>
  <c r="BD29" i="6"/>
  <c r="AZ29" i="6"/>
  <c r="AU29" i="6"/>
  <c r="AQ29" i="6"/>
  <c r="AN29" i="6"/>
  <c r="AB29" i="6"/>
  <c r="BG29" i="6"/>
  <c r="AX29" i="6"/>
  <c r="AR29" i="6"/>
  <c r="AM29" i="6"/>
  <c r="AG29" i="6"/>
  <c r="H32" i="6"/>
  <c r="T32" i="5" s="1"/>
  <c r="T30" i="5"/>
  <c r="AD29" i="6"/>
  <c r="AI29" i="6"/>
  <c r="AH29" i="6"/>
  <c r="AC29" i="6"/>
  <c r="AF29" i="6"/>
  <c r="AK29" i="6"/>
  <c r="B36" i="10"/>
  <c r="C34" i="7"/>
  <c r="B33" i="7"/>
  <c r="B38" i="9"/>
  <c r="Y11" i="10"/>
  <c r="Z12" i="10"/>
  <c r="Y11" i="9"/>
  <c r="Z12" i="9"/>
  <c r="A32" i="6" l="1"/>
  <c r="A33" i="6" s="1"/>
  <c r="N31" i="6"/>
  <c r="M31" i="6"/>
  <c r="AB30" i="6"/>
  <c r="BF30" i="6"/>
  <c r="BE30" i="6"/>
  <c r="BC30" i="6"/>
  <c r="AX30" i="6"/>
  <c r="AS30" i="6"/>
  <c r="AP30" i="6"/>
  <c r="AM30" i="6"/>
  <c r="AH30" i="6"/>
  <c r="AK30" i="6"/>
  <c r="AG30" i="6"/>
  <c r="AI30" i="6"/>
  <c r="AC30" i="6"/>
  <c r="AF30" i="6"/>
  <c r="AJ30" i="6"/>
  <c r="AO30" i="6"/>
  <c r="AR30" i="6"/>
  <c r="AU30" i="6"/>
  <c r="AY30" i="6"/>
  <c r="BA30" i="6"/>
  <c r="AN30" i="6"/>
  <c r="AQ30" i="6"/>
  <c r="AT30" i="6"/>
  <c r="AV30" i="6"/>
  <c r="AZ30" i="6"/>
  <c r="BB30" i="6"/>
  <c r="BD30" i="6"/>
  <c r="BG30" i="6"/>
  <c r="B34" i="6"/>
  <c r="A34" i="6" s="1"/>
  <c r="B34" i="5"/>
  <c r="I34" i="5"/>
  <c r="AD34" i="5"/>
  <c r="G34" i="5"/>
  <c r="F34" i="5"/>
  <c r="W34" i="5"/>
  <c r="H34" i="12" s="1"/>
  <c r="H34" i="5"/>
  <c r="AE34" i="5"/>
  <c r="E34" i="5"/>
  <c r="A34" i="12"/>
  <c r="N34" i="5"/>
  <c r="D34" i="6" s="1"/>
  <c r="C35" i="5"/>
  <c r="L33" i="12"/>
  <c r="J33" i="12"/>
  <c r="K32" i="12"/>
  <c r="H33" i="6"/>
  <c r="C35" i="7"/>
  <c r="B34" i="7"/>
  <c r="B39" i="9"/>
  <c r="B37" i="10"/>
  <c r="G39" i="12"/>
  <c r="Z11" i="10"/>
  <c r="AA12" i="10"/>
  <c r="Z11" i="9"/>
  <c r="AA12" i="9"/>
  <c r="AF31" i="6" l="1"/>
  <c r="AK31" i="6"/>
  <c r="AU31" i="6"/>
  <c r="AZ31" i="6"/>
  <c r="BE31" i="6"/>
  <c r="BG31" i="6"/>
  <c r="AV31" i="6"/>
  <c r="BC31" i="6"/>
  <c r="AO31" i="6"/>
  <c r="AN31" i="6"/>
  <c r="AT31" i="6"/>
  <c r="BA31" i="6"/>
  <c r="M32" i="6"/>
  <c r="N32" i="6"/>
  <c r="AB31" i="6"/>
  <c r="AJ31" i="6"/>
  <c r="AC31" i="6"/>
  <c r="AH31" i="6"/>
  <c r="AS31" i="6"/>
  <c r="BB31" i="6"/>
  <c r="AX31" i="6"/>
  <c r="AY31" i="6"/>
  <c r="AR31" i="6"/>
  <c r="BD31" i="6"/>
  <c r="BF31" i="6"/>
  <c r="AP31" i="6"/>
  <c r="AM31" i="6"/>
  <c r="AQ31" i="6"/>
  <c r="AG31" i="6"/>
  <c r="AI31" i="6"/>
  <c r="AD31" i="6"/>
  <c r="N33" i="6"/>
  <c r="M33" i="6"/>
  <c r="T33" i="5"/>
  <c r="AU34" i="6"/>
  <c r="AS34" i="6"/>
  <c r="AP34" i="6"/>
  <c r="BE34" i="6"/>
  <c r="AY34" i="6"/>
  <c r="AR34" i="6"/>
  <c r="BC34" i="6"/>
  <c r="BG34" i="6"/>
  <c r="BD34" i="6"/>
  <c r="BA34" i="6"/>
  <c r="BF34" i="6"/>
  <c r="BB34" i="6"/>
  <c r="AQ34" i="6"/>
  <c r="AO34" i="6"/>
  <c r="AN34" i="6"/>
  <c r="AM34" i="6"/>
  <c r="AX34" i="6"/>
  <c r="AV34" i="6"/>
  <c r="AZ34" i="6"/>
  <c r="N34" i="6"/>
  <c r="M34" i="6"/>
  <c r="AT34" i="6" s="1"/>
  <c r="H34" i="6"/>
  <c r="K35" i="5"/>
  <c r="A35" i="12"/>
  <c r="AD35" i="5"/>
  <c r="N35" i="5"/>
  <c r="D35" i="6" s="1"/>
  <c r="H35" i="6" s="1"/>
  <c r="T35" i="5" s="1"/>
  <c r="AE35" i="5"/>
  <c r="B35" i="5"/>
  <c r="J35" i="5"/>
  <c r="E35" i="5"/>
  <c r="D35" i="5"/>
  <c r="B35" i="12" s="1"/>
  <c r="F35" i="5"/>
  <c r="G35" i="5"/>
  <c r="H35" i="5"/>
  <c r="B35" i="6"/>
  <c r="K33" i="12"/>
  <c r="B35" i="7"/>
  <c r="C36" i="7"/>
  <c r="B40" i="9"/>
  <c r="B38" i="10"/>
  <c r="G40" i="12"/>
  <c r="AB12" i="10"/>
  <c r="AA11" i="10"/>
  <c r="AB12" i="9"/>
  <c r="AA11" i="9"/>
  <c r="A35" i="6" l="1"/>
  <c r="M35" i="6" s="1"/>
  <c r="AJ35" i="6" s="1"/>
  <c r="AB32" i="6"/>
  <c r="AJ32" i="6"/>
  <c r="AF32" i="6"/>
  <c r="AK32" i="6"/>
  <c r="AC32" i="6"/>
  <c r="AI32" i="6"/>
  <c r="AZ32" i="6"/>
  <c r="AD32" i="6"/>
  <c r="BB32" i="6"/>
  <c r="BF32" i="6"/>
  <c r="AQ32" i="6"/>
  <c r="AO32" i="6"/>
  <c r="AR32" i="6"/>
  <c r="AX32" i="6"/>
  <c r="AM32" i="6"/>
  <c r="AG32" i="6"/>
  <c r="BD32" i="6"/>
  <c r="BG32" i="6"/>
  <c r="BC32" i="6"/>
  <c r="AN32" i="6"/>
  <c r="AH32" i="6"/>
  <c r="BA32" i="6"/>
  <c r="AV32" i="6"/>
  <c r="AT32" i="6"/>
  <c r="AU32" i="6"/>
  <c r="AY32" i="6"/>
  <c r="AP32" i="6"/>
  <c r="AS32" i="6"/>
  <c r="BE32" i="6"/>
  <c r="AH33" i="6"/>
  <c r="AI33" i="6"/>
  <c r="AK33" i="6"/>
  <c r="AB33" i="6"/>
  <c r="AG33" i="6"/>
  <c r="AC33" i="6"/>
  <c r="AJ33" i="6"/>
  <c r="AQ33" i="6"/>
  <c r="BC33" i="6"/>
  <c r="AM33" i="6"/>
  <c r="BA33" i="6"/>
  <c r="AV33" i="6"/>
  <c r="BB33" i="6"/>
  <c r="AU33" i="6"/>
  <c r="AZ33" i="6"/>
  <c r="AR33" i="6"/>
  <c r="AS33" i="6"/>
  <c r="AP33" i="6"/>
  <c r="AY33" i="6"/>
  <c r="AX33" i="6"/>
  <c r="AT33" i="6"/>
  <c r="BG33" i="6"/>
  <c r="AD33" i="6"/>
  <c r="AO33" i="6"/>
  <c r="BF33" i="6"/>
  <c r="AF33" i="6"/>
  <c r="BE33" i="6"/>
  <c r="BD33" i="6"/>
  <c r="AN33" i="6"/>
  <c r="AB34" i="6"/>
  <c r="AD34" i="6"/>
  <c r="AJ34" i="6"/>
  <c r="T34" i="5"/>
  <c r="J35" i="12"/>
  <c r="L35" i="12"/>
  <c r="C36" i="5"/>
  <c r="C37" i="5" s="1"/>
  <c r="AC34" i="6"/>
  <c r="AI34" i="6"/>
  <c r="AG34" i="6"/>
  <c r="AF34" i="6"/>
  <c r="AK34" i="6"/>
  <c r="AH34" i="6"/>
  <c r="B41" i="9"/>
  <c r="B39" i="10"/>
  <c r="B36" i="7"/>
  <c r="C37" i="7"/>
  <c r="AB11" i="10"/>
  <c r="AC12" i="10"/>
  <c r="AC12" i="9"/>
  <c r="AB11" i="9"/>
  <c r="K37" i="5" l="1"/>
  <c r="N37" i="5"/>
  <c r="B37" i="6"/>
  <c r="A37" i="12"/>
  <c r="D37" i="5"/>
  <c r="B37" i="12" s="1"/>
  <c r="J37" i="5"/>
  <c r="AD37" i="5"/>
  <c r="AE37" i="5"/>
  <c r="K35" i="12"/>
  <c r="B36" i="6"/>
  <c r="E36" i="5"/>
  <c r="E37" i="5" s="1"/>
  <c r="F36" i="5"/>
  <c r="F37" i="5" s="1"/>
  <c r="B36" i="5"/>
  <c r="B37" i="5" s="1"/>
  <c r="D36" i="5"/>
  <c r="B36" i="12" s="1"/>
  <c r="K36" i="5"/>
  <c r="N36" i="5"/>
  <c r="D36" i="6" s="1"/>
  <c r="H36" i="5"/>
  <c r="H37" i="5" s="1"/>
  <c r="G36" i="5"/>
  <c r="G37" i="5" s="1"/>
  <c r="A36" i="12"/>
  <c r="AD36" i="5"/>
  <c r="J36" i="5"/>
  <c r="AE36" i="5"/>
  <c r="C38" i="5"/>
  <c r="AF35" i="6"/>
  <c r="AK35" i="6"/>
  <c r="AB35" i="6"/>
  <c r="AQ35" i="6"/>
  <c r="BB35" i="6"/>
  <c r="AX35" i="6"/>
  <c r="BE35" i="6"/>
  <c r="AR35" i="6"/>
  <c r="BA35" i="6"/>
  <c r="AN35" i="6"/>
  <c r="AV35" i="6"/>
  <c r="BC35" i="6"/>
  <c r="AZ35" i="6"/>
  <c r="AI35" i="6"/>
  <c r="AP35" i="6"/>
  <c r="AM35" i="6"/>
  <c r="AT35" i="6"/>
  <c r="AC35" i="6"/>
  <c r="AU35" i="6"/>
  <c r="AO35" i="6"/>
  <c r="BG35" i="6"/>
  <c r="AH35" i="6"/>
  <c r="AG35" i="6"/>
  <c r="BF35" i="6"/>
  <c r="BD35" i="6"/>
  <c r="AY35" i="6"/>
  <c r="AS35" i="6"/>
  <c r="AD35" i="6"/>
  <c r="B42" i="9"/>
  <c r="C38" i="7"/>
  <c r="B37" i="7"/>
  <c r="B40" i="10"/>
  <c r="G46" i="12"/>
  <c r="AC11" i="10"/>
  <c r="AD12" i="10"/>
  <c r="AC11" i="9"/>
  <c r="AD12" i="9"/>
  <c r="D37" i="6" l="1"/>
  <c r="J37" i="12"/>
  <c r="L37" i="12"/>
  <c r="L36" i="12"/>
  <c r="J36" i="12"/>
  <c r="B38" i="6"/>
  <c r="J38" i="5"/>
  <c r="AE38" i="5"/>
  <c r="B38" i="5"/>
  <c r="H38" i="5"/>
  <c r="F38" i="5"/>
  <c r="AD38" i="5"/>
  <c r="G38" i="5"/>
  <c r="C39" i="5"/>
  <c r="E38" i="5"/>
  <c r="A38" i="12"/>
  <c r="K38" i="5"/>
  <c r="D38" i="5"/>
  <c r="B38" i="12" s="1"/>
  <c r="N38" i="5"/>
  <c r="D38" i="6" s="1"/>
  <c r="A36" i="6"/>
  <c r="H36" i="6"/>
  <c r="T36" i="5" s="1"/>
  <c r="K25" i="5"/>
  <c r="K21" i="5"/>
  <c r="B41" i="10"/>
  <c r="C39" i="7"/>
  <c r="B38" i="7"/>
  <c r="B43" i="9"/>
  <c r="G47" i="12"/>
  <c r="AD11" i="9"/>
  <c r="AE12" i="9"/>
  <c r="AE11" i="9" s="1"/>
  <c r="AE12" i="10"/>
  <c r="AD11" i="10"/>
  <c r="K37" i="12" l="1"/>
  <c r="A37" i="6"/>
  <c r="H37" i="6"/>
  <c r="F39" i="5"/>
  <c r="N39" i="5"/>
  <c r="D39" i="6" s="1"/>
  <c r="J39" i="5"/>
  <c r="D39" i="5"/>
  <c r="B39" i="12" s="1"/>
  <c r="A39" i="12"/>
  <c r="AE39" i="5"/>
  <c r="K39" i="5"/>
  <c r="B39" i="6"/>
  <c r="E39" i="5"/>
  <c r="B39" i="5"/>
  <c r="H39" i="5"/>
  <c r="C40" i="5"/>
  <c r="C41" i="5" s="1"/>
  <c r="C42" i="5" s="1"/>
  <c r="AD39" i="5"/>
  <c r="G39" i="5"/>
  <c r="J38" i="12"/>
  <c r="L38" i="12"/>
  <c r="H38" i="6"/>
  <c r="K36" i="12"/>
  <c r="M36" i="6"/>
  <c r="B42" i="10"/>
  <c r="C40" i="7"/>
  <c r="B39" i="7"/>
  <c r="B44" i="9"/>
  <c r="G49" i="12"/>
  <c r="AE11" i="10"/>
  <c r="AF12" i="10"/>
  <c r="AF11" i="10" s="1"/>
  <c r="B42" i="6" l="1"/>
  <c r="D42" i="5"/>
  <c r="B42" i="12" s="1"/>
  <c r="AE42" i="5"/>
  <c r="N42" i="5"/>
  <c r="AD42" i="5"/>
  <c r="A42" i="12"/>
  <c r="K42" i="5"/>
  <c r="J42" i="5"/>
  <c r="K38" i="12"/>
  <c r="B41" i="6"/>
  <c r="D41" i="5"/>
  <c r="B41" i="12" s="1"/>
  <c r="AE41" i="5"/>
  <c r="N41" i="5"/>
  <c r="AD41" i="5"/>
  <c r="A41" i="12"/>
  <c r="K41" i="5"/>
  <c r="J41" i="5"/>
  <c r="M37" i="6"/>
  <c r="A38" i="6"/>
  <c r="T37" i="5"/>
  <c r="H39" i="6"/>
  <c r="L39" i="12"/>
  <c r="J39" i="12"/>
  <c r="A40" i="12"/>
  <c r="AD40" i="5"/>
  <c r="C43" i="5"/>
  <c r="J40" i="5"/>
  <c r="F40" i="5"/>
  <c r="F41" i="5" s="1"/>
  <c r="F42" i="5" s="1"/>
  <c r="N40" i="5"/>
  <c r="D40" i="6" s="1"/>
  <c r="B40" i="6"/>
  <c r="H40" i="5"/>
  <c r="H41" i="5" s="1"/>
  <c r="H42" i="5" s="1"/>
  <c r="K40" i="5"/>
  <c r="B40" i="5"/>
  <c r="B41" i="5" s="1"/>
  <c r="B42" i="5" s="1"/>
  <c r="E40" i="5"/>
  <c r="E41" i="5" s="1"/>
  <c r="E42" i="5" s="1"/>
  <c r="AE40" i="5"/>
  <c r="D40" i="5"/>
  <c r="B40" i="12" s="1"/>
  <c r="G40" i="5"/>
  <c r="G41" i="5" s="1"/>
  <c r="G42" i="5" s="1"/>
  <c r="AZ36" i="6"/>
  <c r="AD36" i="6"/>
  <c r="BG36" i="6"/>
  <c r="AJ36" i="6"/>
  <c r="BE36" i="6"/>
  <c r="BA36" i="6"/>
  <c r="AF36" i="6"/>
  <c r="AC36" i="6"/>
  <c r="AM36" i="6"/>
  <c r="BC36" i="6"/>
  <c r="AV36" i="6"/>
  <c r="AT36" i="6"/>
  <c r="AX36" i="6"/>
  <c r="AR36" i="6"/>
  <c r="AN36" i="6"/>
  <c r="AS36" i="6"/>
  <c r="BB36" i="6"/>
  <c r="AY36" i="6"/>
  <c r="AG36" i="6"/>
  <c r="AH36" i="6"/>
  <c r="AB36" i="6"/>
  <c r="BD36" i="6"/>
  <c r="AI36" i="6"/>
  <c r="AU36" i="6"/>
  <c r="AK36" i="6"/>
  <c r="BF36" i="6"/>
  <c r="AO36" i="6"/>
  <c r="AQ36" i="6"/>
  <c r="AP36" i="6"/>
  <c r="T38" i="5"/>
  <c r="B45" i="9"/>
  <c r="C41" i="7"/>
  <c r="B40" i="7"/>
  <c r="B43" i="10"/>
  <c r="G54" i="12"/>
  <c r="J42" i="12" l="1"/>
  <c r="L42" i="12"/>
  <c r="K42" i="12" s="1"/>
  <c r="D42" i="6"/>
  <c r="J41" i="12"/>
  <c r="L41" i="12"/>
  <c r="D41" i="6"/>
  <c r="K43" i="5"/>
  <c r="AD43" i="5"/>
  <c r="J43" i="5"/>
  <c r="N43" i="5"/>
  <c r="AE43" i="5"/>
  <c r="B43" i="6"/>
  <c r="A43" i="12"/>
  <c r="D43" i="5"/>
  <c r="B43" i="12" s="1"/>
  <c r="C44" i="5"/>
  <c r="AD37" i="6"/>
  <c r="AJ37" i="6"/>
  <c r="AC37" i="6"/>
  <c r="AF37" i="6"/>
  <c r="AH37" i="6"/>
  <c r="AP37" i="6"/>
  <c r="AR37" i="6"/>
  <c r="AS37" i="6"/>
  <c r="AV37" i="6"/>
  <c r="AZ37" i="6"/>
  <c r="BA37" i="6"/>
  <c r="BC37" i="6"/>
  <c r="BE37" i="6"/>
  <c r="BG37" i="6"/>
  <c r="M38" i="6"/>
  <c r="A39" i="6"/>
  <c r="AM37" i="6"/>
  <c r="AO37" i="6"/>
  <c r="AQ37" i="6"/>
  <c r="AT37" i="6"/>
  <c r="AU37" i="6"/>
  <c r="AX37" i="6"/>
  <c r="AY37" i="6"/>
  <c r="BB37" i="6"/>
  <c r="BD37" i="6"/>
  <c r="BF37" i="6"/>
  <c r="AG37" i="6"/>
  <c r="AB37" i="6"/>
  <c r="AI37" i="6"/>
  <c r="AK37" i="6"/>
  <c r="AN37" i="6"/>
  <c r="K39" i="12"/>
  <c r="J40" i="12"/>
  <c r="L40" i="12"/>
  <c r="F43" i="5"/>
  <c r="B43" i="5"/>
  <c r="G43" i="5"/>
  <c r="E43" i="5"/>
  <c r="H43" i="5"/>
  <c r="H40" i="6"/>
  <c r="T39" i="5"/>
  <c r="C42" i="7"/>
  <c r="B41" i="7"/>
  <c r="B44" i="10"/>
  <c r="B46" i="9"/>
  <c r="K41" i="12" l="1"/>
  <c r="H42" i="6"/>
  <c r="T42" i="5" s="1"/>
  <c r="H41" i="6"/>
  <c r="T41" i="5" s="1"/>
  <c r="D43" i="6"/>
  <c r="J43" i="12"/>
  <c r="L43" i="12"/>
  <c r="H44" i="5"/>
  <c r="N44" i="5"/>
  <c r="G44" i="5"/>
  <c r="D44" i="5"/>
  <c r="B44" i="12" s="1"/>
  <c r="K44" i="5"/>
  <c r="B44" i="5"/>
  <c r="F44" i="5"/>
  <c r="AD44" i="5"/>
  <c r="AE44" i="5"/>
  <c r="B44" i="6"/>
  <c r="E44" i="5"/>
  <c r="J44" i="5"/>
  <c r="A44" i="12"/>
  <c r="K40" i="12"/>
  <c r="BA38" i="6"/>
  <c r="AX38" i="6"/>
  <c r="AG38" i="6"/>
  <c r="AH38" i="6"/>
  <c r="AJ38" i="6"/>
  <c r="AB38" i="6"/>
  <c r="AC38" i="6"/>
  <c r="AD38" i="6"/>
  <c r="AI38" i="6"/>
  <c r="AK38" i="6"/>
  <c r="AF38" i="6"/>
  <c r="BD38" i="6"/>
  <c r="BG38" i="6"/>
  <c r="AN38" i="6"/>
  <c r="AV38" i="6"/>
  <c r="AY38" i="6"/>
  <c r="AS38" i="6"/>
  <c r="AR38" i="6"/>
  <c r="BF38" i="6"/>
  <c r="AZ38" i="6"/>
  <c r="AQ38" i="6"/>
  <c r="AO38" i="6"/>
  <c r="BE38" i="6"/>
  <c r="AU38" i="6"/>
  <c r="AP38" i="6"/>
  <c r="BC38" i="6"/>
  <c r="AM38" i="6"/>
  <c r="AT38" i="6"/>
  <c r="BB38" i="6"/>
  <c r="M39" i="6"/>
  <c r="A40" i="6"/>
  <c r="A41" i="6" s="1"/>
  <c r="A42" i="6" s="1"/>
  <c r="T40" i="5"/>
  <c r="B47" i="9"/>
  <c r="B45" i="10"/>
  <c r="B42" i="7"/>
  <c r="C43" i="7"/>
  <c r="M42" i="6" l="1"/>
  <c r="AK42" i="6" s="1"/>
  <c r="M41" i="6"/>
  <c r="K43" i="12"/>
  <c r="H43" i="6"/>
  <c r="D44" i="6"/>
  <c r="C45" i="5"/>
  <c r="L44" i="12"/>
  <c r="J44" i="12"/>
  <c r="AC39" i="6"/>
  <c r="AK39" i="6"/>
  <c r="AF39" i="6"/>
  <c r="AB39" i="6"/>
  <c r="AJ39" i="6"/>
  <c r="AI39" i="6"/>
  <c r="AG39" i="6"/>
  <c r="AO39" i="6"/>
  <c r="AM39" i="6"/>
  <c r="AX39" i="6"/>
  <c r="BA39" i="6"/>
  <c r="AP39" i="6"/>
  <c r="AN39" i="6"/>
  <c r="AY39" i="6"/>
  <c r="AS39" i="6"/>
  <c r="AH39" i="6"/>
  <c r="BD39" i="6"/>
  <c r="AZ39" i="6"/>
  <c r="AD39" i="6"/>
  <c r="BF39" i="6"/>
  <c r="BC39" i="6"/>
  <c r="AQ39" i="6"/>
  <c r="AR39" i="6"/>
  <c r="BB39" i="6"/>
  <c r="BE39" i="6"/>
  <c r="AV39" i="6"/>
  <c r="AT39" i="6"/>
  <c r="AU39" i="6"/>
  <c r="BG39" i="6"/>
  <c r="M40" i="6"/>
  <c r="B43" i="7"/>
  <c r="C44" i="7"/>
  <c r="B46" i="10"/>
  <c r="B48" i="9"/>
  <c r="AH42" i="6" l="1"/>
  <c r="AF42" i="6"/>
  <c r="AC42" i="6"/>
  <c r="BE42" i="6"/>
  <c r="BA42" i="6"/>
  <c r="AJ42" i="6"/>
  <c r="AR42" i="6"/>
  <c r="AN42" i="6"/>
  <c r="AS42" i="6"/>
  <c r="AB42" i="6"/>
  <c r="AV42" i="6"/>
  <c r="BD42" i="6"/>
  <c r="AZ42" i="6"/>
  <c r="AQ42" i="6"/>
  <c r="AM42" i="6"/>
  <c r="AU42" i="6"/>
  <c r="AG42" i="6"/>
  <c r="BC42" i="6"/>
  <c r="BF42" i="6"/>
  <c r="AP42" i="6"/>
  <c r="AY42" i="6"/>
  <c r="BG42" i="6"/>
  <c r="AT42" i="6"/>
  <c r="BB42" i="6"/>
  <c r="AO42" i="6"/>
  <c r="AX42" i="6"/>
  <c r="AI42" i="6"/>
  <c r="AD42" i="6"/>
  <c r="BE41" i="6"/>
  <c r="BA41" i="6"/>
  <c r="AV41" i="6"/>
  <c r="AN41" i="6"/>
  <c r="AX41" i="6"/>
  <c r="AR41" i="6"/>
  <c r="BB41" i="6"/>
  <c r="AB41" i="6"/>
  <c r="AU41" i="6"/>
  <c r="AF41" i="6"/>
  <c r="BD41" i="6"/>
  <c r="AZ41" i="6"/>
  <c r="AQ41" i="6"/>
  <c r="AM41" i="6"/>
  <c r="BG41" i="6"/>
  <c r="AT41" i="6"/>
  <c r="BC41" i="6"/>
  <c r="AY41" i="6"/>
  <c r="AP41" i="6"/>
  <c r="BF41" i="6"/>
  <c r="AS41" i="6"/>
  <c r="AO41" i="6"/>
  <c r="AG41" i="6"/>
  <c r="AK41" i="6"/>
  <c r="AC41" i="6"/>
  <c r="AI41" i="6"/>
  <c r="AH41" i="6"/>
  <c r="AJ41" i="6"/>
  <c r="AD41" i="6"/>
  <c r="H44" i="6"/>
  <c r="T44" i="5" s="1"/>
  <c r="F45" i="5"/>
  <c r="J45" i="5"/>
  <c r="N45" i="5"/>
  <c r="AD45" i="5"/>
  <c r="E45" i="5"/>
  <c r="AE45" i="5"/>
  <c r="A45" i="12"/>
  <c r="B45" i="5"/>
  <c r="D45" i="5"/>
  <c r="B45" i="12" s="1"/>
  <c r="G45" i="5"/>
  <c r="H45" i="5"/>
  <c r="K45" i="5"/>
  <c r="B45" i="6"/>
  <c r="K44" i="12"/>
  <c r="T43" i="5"/>
  <c r="A43" i="6"/>
  <c r="AH40" i="6"/>
  <c r="AC40" i="6"/>
  <c r="AJ40" i="6"/>
  <c r="AG40" i="6"/>
  <c r="AI40" i="6"/>
  <c r="AF40" i="6"/>
  <c r="AD40" i="6"/>
  <c r="AK40" i="6"/>
  <c r="AB40" i="6"/>
  <c r="BB40" i="6"/>
  <c r="AQ40" i="6"/>
  <c r="BF40" i="6"/>
  <c r="AV40" i="6"/>
  <c r="AM40" i="6"/>
  <c r="AZ40" i="6"/>
  <c r="AS40" i="6"/>
  <c r="AT40" i="6"/>
  <c r="AU40" i="6"/>
  <c r="AR40" i="6"/>
  <c r="BC40" i="6"/>
  <c r="BE40" i="6"/>
  <c r="AY40" i="6"/>
  <c r="AP40" i="6"/>
  <c r="AN40" i="6"/>
  <c r="BA40" i="6"/>
  <c r="AX40" i="6"/>
  <c r="BD40" i="6"/>
  <c r="AO40" i="6"/>
  <c r="BG40" i="6"/>
  <c r="B44" i="7"/>
  <c r="C45" i="7"/>
  <c r="B47" i="10"/>
  <c r="B49" i="9"/>
  <c r="D45" i="6" l="1"/>
  <c r="C46" i="5"/>
  <c r="J45" i="12"/>
  <c r="L45" i="12"/>
  <c r="M43" i="6"/>
  <c r="A44" i="6"/>
  <c r="B50" i="9"/>
  <c r="B48" i="10"/>
  <c r="C46" i="7"/>
  <c r="B45" i="7"/>
  <c r="H45" i="6" l="1"/>
  <c r="B46" i="6"/>
  <c r="A46" i="6" s="1"/>
  <c r="AD46" i="5"/>
  <c r="G46" i="5"/>
  <c r="AE46" i="5"/>
  <c r="F46" i="5"/>
  <c r="H46" i="5"/>
  <c r="A46" i="12"/>
  <c r="C47" i="5"/>
  <c r="N46" i="5"/>
  <c r="D46" i="6" s="1"/>
  <c r="W46" i="5"/>
  <c r="H46" i="12" s="1"/>
  <c r="B46" i="5"/>
  <c r="E46" i="5"/>
  <c r="I46" i="5"/>
  <c r="AF43" i="6"/>
  <c r="AB43" i="6"/>
  <c r="AG43" i="6"/>
  <c r="AC43" i="6"/>
  <c r="AJ43" i="6"/>
  <c r="AS43" i="6"/>
  <c r="AO43" i="6"/>
  <c r="BE43" i="6"/>
  <c r="AY43" i="6"/>
  <c r="BG43" i="6"/>
  <c r="BF43" i="6"/>
  <c r="BD43" i="6"/>
  <c r="BB43" i="6"/>
  <c r="AX43" i="6"/>
  <c r="AM43" i="6"/>
  <c r="BC43" i="6"/>
  <c r="AQ43" i="6"/>
  <c r="AT43" i="6"/>
  <c r="AV43" i="6"/>
  <c r="AK43" i="6"/>
  <c r="BA43" i="6"/>
  <c r="AI43" i="6"/>
  <c r="AU43" i="6"/>
  <c r="AP43" i="6"/>
  <c r="AH43" i="6"/>
  <c r="AR43" i="6"/>
  <c r="AN43" i="6"/>
  <c r="AD43" i="6"/>
  <c r="AZ43" i="6"/>
  <c r="M44" i="6"/>
  <c r="K45" i="12"/>
  <c r="C47" i="7"/>
  <c r="B46" i="7"/>
  <c r="B49" i="10"/>
  <c r="B51" i="9"/>
  <c r="AD47" i="5" l="1"/>
  <c r="B47" i="6"/>
  <c r="D47" i="5"/>
  <c r="B47" i="12" s="1"/>
  <c r="E47" i="5"/>
  <c r="N47" i="5"/>
  <c r="D47" i="6" s="1"/>
  <c r="H47" i="5"/>
  <c r="J47" i="5"/>
  <c r="A47" i="12"/>
  <c r="B47" i="5"/>
  <c r="K47" i="5"/>
  <c r="C48" i="5"/>
  <c r="AE47" i="5"/>
  <c r="G47" i="5"/>
  <c r="F47" i="5"/>
  <c r="BB46" i="6"/>
  <c r="H46" i="6"/>
  <c r="BG46" i="6"/>
  <c r="BA46" i="6"/>
  <c r="AQ46" i="6"/>
  <c r="AN46" i="6"/>
  <c r="BF46" i="6"/>
  <c r="AU46" i="6"/>
  <c r="AZ46" i="6"/>
  <c r="AY46" i="6"/>
  <c r="AX46" i="6"/>
  <c r="AR46" i="6"/>
  <c r="AP46" i="6"/>
  <c r="M46" i="6"/>
  <c r="AS46" i="6"/>
  <c r="AO46" i="6"/>
  <c r="BC46" i="6"/>
  <c r="AV46" i="6"/>
  <c r="BD46" i="6"/>
  <c r="AT46" i="6"/>
  <c r="AM46" i="6"/>
  <c r="BE46" i="6"/>
  <c r="AV44" i="6"/>
  <c r="AX44" i="6"/>
  <c r="AO44" i="6"/>
  <c r="AT44" i="6"/>
  <c r="AG44" i="6"/>
  <c r="AQ44" i="6"/>
  <c r="BG44" i="6"/>
  <c r="BC44" i="6"/>
  <c r="AY44" i="6"/>
  <c r="AS44" i="6"/>
  <c r="AN44" i="6"/>
  <c r="BA44" i="6"/>
  <c r="AU44" i="6"/>
  <c r="AD44" i="6"/>
  <c r="BB44" i="6"/>
  <c r="AK44" i="6"/>
  <c r="AR44" i="6"/>
  <c r="AJ44" i="6"/>
  <c r="AZ44" i="6"/>
  <c r="AP44" i="6"/>
  <c r="AF44" i="6"/>
  <c r="AM44" i="6"/>
  <c r="AH44" i="6"/>
  <c r="BE44" i="6"/>
  <c r="BF44" i="6"/>
  <c r="AB44" i="6"/>
  <c r="AC44" i="6"/>
  <c r="BD44" i="6"/>
  <c r="AI44" i="6"/>
  <c r="A45" i="6"/>
  <c r="T45" i="5"/>
  <c r="E55" i="12"/>
  <c r="F55" i="6"/>
  <c r="B50" i="10"/>
  <c r="C48" i="7"/>
  <c r="B47" i="7"/>
  <c r="B52" i="9"/>
  <c r="AC46" i="6" l="1"/>
  <c r="AG46" i="6"/>
  <c r="AD46" i="6"/>
  <c r="AI46" i="6"/>
  <c r="H47" i="6"/>
  <c r="L47" i="12"/>
  <c r="J47" i="12"/>
  <c r="C49" i="5"/>
  <c r="H48" i="5"/>
  <c r="D48" i="5"/>
  <c r="B48" i="12" s="1"/>
  <c r="A48" i="12"/>
  <c r="K48" i="5"/>
  <c r="AE48" i="5"/>
  <c r="E48" i="5"/>
  <c r="G48" i="5"/>
  <c r="F48" i="5"/>
  <c r="N48" i="5"/>
  <c r="D48" i="6" s="1"/>
  <c r="B48" i="6"/>
  <c r="J48" i="5"/>
  <c r="B48" i="5"/>
  <c r="AD48" i="5"/>
  <c r="M45" i="6"/>
  <c r="A47" i="6"/>
  <c r="T46" i="5"/>
  <c r="AJ46" i="6"/>
  <c r="AB46" i="6"/>
  <c r="AH46" i="6"/>
  <c r="AF46" i="6"/>
  <c r="AK46" i="6"/>
  <c r="F56" i="6"/>
  <c r="E56" i="12"/>
  <c r="B53" i="9"/>
  <c r="C49" i="7"/>
  <c r="B48" i="7"/>
  <c r="B51" i="10"/>
  <c r="A48" i="6" l="1"/>
  <c r="K47" i="12"/>
  <c r="F49" i="5"/>
  <c r="A49" i="12"/>
  <c r="B49" i="5"/>
  <c r="AD49" i="5"/>
  <c r="AE49" i="5"/>
  <c r="G49" i="5"/>
  <c r="K49" i="5"/>
  <c r="D49" i="5" s="1"/>
  <c r="B49" i="12" s="1"/>
  <c r="E49" i="5"/>
  <c r="N49" i="5"/>
  <c r="D49" i="6" s="1"/>
  <c r="H49" i="5"/>
  <c r="C50" i="5"/>
  <c r="B49" i="6"/>
  <c r="J49" i="5"/>
  <c r="L48" i="12"/>
  <c r="J48" i="12"/>
  <c r="H48" i="6"/>
  <c r="AI45" i="6"/>
  <c r="AG45" i="6"/>
  <c r="AK45" i="6"/>
  <c r="AC45" i="6"/>
  <c r="AH45" i="6"/>
  <c r="AB45" i="6"/>
  <c r="AJ45" i="6"/>
  <c r="AD45" i="6"/>
  <c r="AF45" i="6"/>
  <c r="BB45" i="6"/>
  <c r="AP45" i="6"/>
  <c r="AX45" i="6"/>
  <c r="AU45" i="6"/>
  <c r="AQ45" i="6"/>
  <c r="AN45" i="6"/>
  <c r="BF45" i="6"/>
  <c r="BD45" i="6"/>
  <c r="BA45" i="6"/>
  <c r="AY45" i="6"/>
  <c r="AT45" i="6"/>
  <c r="AR45" i="6"/>
  <c r="AM45" i="6"/>
  <c r="AS45" i="6"/>
  <c r="BG45" i="6"/>
  <c r="BE45" i="6"/>
  <c r="BC45" i="6"/>
  <c r="AZ45" i="6"/>
  <c r="AV45" i="6"/>
  <c r="AO45" i="6"/>
  <c r="M47" i="6"/>
  <c r="T47" i="5"/>
  <c r="B52" i="10"/>
  <c r="B49" i="7"/>
  <c r="C50" i="7"/>
  <c r="B54" i="9"/>
  <c r="A49" i="6" l="1"/>
  <c r="M49" i="6" s="1"/>
  <c r="K48" i="12"/>
  <c r="H49" i="6"/>
  <c r="E50" i="5"/>
  <c r="B50" i="5"/>
  <c r="G50" i="5"/>
  <c r="H50" i="5"/>
  <c r="F50" i="5"/>
  <c r="D50" i="5"/>
  <c r="B50" i="12" s="1"/>
  <c r="A50" i="12"/>
  <c r="AE50" i="5"/>
  <c r="AD50" i="5"/>
  <c r="B50" i="6"/>
  <c r="N50" i="5"/>
  <c r="D50" i="6" s="1"/>
  <c r="K50" i="5"/>
  <c r="J50" i="5"/>
  <c r="C51" i="5"/>
  <c r="M48" i="6"/>
  <c r="AM47" i="6"/>
  <c r="AQ47" i="6"/>
  <c r="AZ47" i="6"/>
  <c r="AX47" i="6"/>
  <c r="BC47" i="6"/>
  <c r="BD47" i="6"/>
  <c r="AT47" i="6"/>
  <c r="AY47" i="6"/>
  <c r="BF47" i="6"/>
  <c r="AP47" i="6"/>
  <c r="AS47" i="6"/>
  <c r="AN47" i="6"/>
  <c r="BE47" i="6"/>
  <c r="AO47" i="6"/>
  <c r="BG47" i="6"/>
  <c r="AR47" i="6"/>
  <c r="BA47" i="6"/>
  <c r="AU47" i="6"/>
  <c r="AV47" i="6"/>
  <c r="BB47" i="6"/>
  <c r="T48" i="5"/>
  <c r="AC47" i="6"/>
  <c r="AJ47" i="6"/>
  <c r="AF47" i="6"/>
  <c r="AG47" i="6"/>
  <c r="AD47" i="6"/>
  <c r="AB47" i="6"/>
  <c r="AH47" i="6"/>
  <c r="AK47" i="6"/>
  <c r="AI47" i="6"/>
  <c r="B55" i="9"/>
  <c r="B53" i="10"/>
  <c r="B50" i="7"/>
  <c r="C51" i="7"/>
  <c r="L50" i="12" l="1"/>
  <c r="J50" i="12"/>
  <c r="H50" i="6"/>
  <c r="A51" i="12"/>
  <c r="E51" i="5"/>
  <c r="G51" i="5"/>
  <c r="K51" i="5"/>
  <c r="J51" i="5"/>
  <c r="C52" i="5"/>
  <c r="C53" i="5" s="1"/>
  <c r="D51" i="5"/>
  <c r="B51" i="12" s="1"/>
  <c r="AE51" i="5"/>
  <c r="B51" i="6"/>
  <c r="F51" i="5"/>
  <c r="H51" i="5"/>
  <c r="N51" i="5"/>
  <c r="D51" i="6" s="1"/>
  <c r="AD51" i="5"/>
  <c r="B51" i="5"/>
  <c r="BC48" i="6"/>
  <c r="BB48" i="6"/>
  <c r="AP48" i="6"/>
  <c r="AR48" i="6"/>
  <c r="AT48" i="6"/>
  <c r="BE48" i="6"/>
  <c r="BA48" i="6"/>
  <c r="AV48" i="6"/>
  <c r="AM48" i="6"/>
  <c r="AU48" i="6"/>
  <c r="BD48" i="6"/>
  <c r="AS48" i="6"/>
  <c r="BF48" i="6"/>
  <c r="AO48" i="6"/>
  <c r="AY48" i="6"/>
  <c r="AQ48" i="6"/>
  <c r="AN48" i="6"/>
  <c r="AZ48" i="6"/>
  <c r="AX48" i="6"/>
  <c r="BG48" i="6"/>
  <c r="A50" i="6"/>
  <c r="M50" i="6" s="1"/>
  <c r="T49" i="5"/>
  <c r="AG49" i="6"/>
  <c r="AK49" i="6"/>
  <c r="AF49" i="6"/>
  <c r="AI49" i="6"/>
  <c r="AJ49" i="6"/>
  <c r="AC49" i="6"/>
  <c r="AB49" i="6"/>
  <c r="AD49" i="6"/>
  <c r="AH49" i="6"/>
  <c r="AF48" i="6"/>
  <c r="AD48" i="6"/>
  <c r="AB48" i="6"/>
  <c r="AJ48" i="6"/>
  <c r="AK48" i="6"/>
  <c r="AG48" i="6"/>
  <c r="AH48" i="6"/>
  <c r="AI48" i="6"/>
  <c r="AC48" i="6"/>
  <c r="AY49" i="6"/>
  <c r="AP49" i="6"/>
  <c r="AR49" i="6"/>
  <c r="AO49" i="6"/>
  <c r="BD49" i="6"/>
  <c r="BA49" i="6"/>
  <c r="AM49" i="6"/>
  <c r="BE49" i="6"/>
  <c r="AS49" i="6"/>
  <c r="BB49" i="6"/>
  <c r="AX49" i="6"/>
  <c r="BC49" i="6"/>
  <c r="BF49" i="6"/>
  <c r="AN49" i="6"/>
  <c r="AZ49" i="6"/>
  <c r="AQ49" i="6"/>
  <c r="AV49" i="6"/>
  <c r="AU49" i="6"/>
  <c r="BG49" i="6"/>
  <c r="AT49" i="6"/>
  <c r="E60" i="12"/>
  <c r="F60" i="6"/>
  <c r="B54" i="10"/>
  <c r="B56" i="9"/>
  <c r="C52" i="7"/>
  <c r="B51" i="7"/>
  <c r="K53" i="5" l="1"/>
  <c r="AE53" i="5"/>
  <c r="A53" i="12"/>
  <c r="B53" i="6"/>
  <c r="D53" i="5"/>
  <c r="B53" i="12" s="1"/>
  <c r="J53" i="5"/>
  <c r="N53" i="5"/>
  <c r="AD53" i="5"/>
  <c r="A51" i="6"/>
  <c r="M51" i="6" s="1"/>
  <c r="AQ50" i="6"/>
  <c r="BC50" i="6"/>
  <c r="AY50" i="6"/>
  <c r="AM50" i="6"/>
  <c r="BG50" i="6"/>
  <c r="AR50" i="6"/>
  <c r="AZ50" i="6"/>
  <c r="BD50" i="6"/>
  <c r="AS50" i="6"/>
  <c r="AP50" i="6"/>
  <c r="AX50" i="6"/>
  <c r="BE50" i="6"/>
  <c r="BB50" i="6"/>
  <c r="AN50" i="6"/>
  <c r="AU50" i="6"/>
  <c r="BA50" i="6"/>
  <c r="AV50" i="6"/>
  <c r="AO50" i="6"/>
  <c r="L51" i="12"/>
  <c r="J51" i="12"/>
  <c r="J52" i="5"/>
  <c r="AE52" i="5"/>
  <c r="B52" i="5"/>
  <c r="B53" i="5" s="1"/>
  <c r="K52" i="5"/>
  <c r="H52" i="5"/>
  <c r="H53" i="5" s="1"/>
  <c r="C54" i="5"/>
  <c r="A52" i="12"/>
  <c r="G52" i="5"/>
  <c r="G53" i="5" s="1"/>
  <c r="D52" i="5"/>
  <c r="B52" i="12" s="1"/>
  <c r="F52" i="5"/>
  <c r="F53" i="5" s="1"/>
  <c r="N52" i="5"/>
  <c r="D52" i="6" s="1"/>
  <c r="B52" i="6"/>
  <c r="AD52" i="5"/>
  <c r="E52" i="5"/>
  <c r="E53" i="5" s="1"/>
  <c r="H51" i="6"/>
  <c r="K50" i="12"/>
  <c r="T50" i="5"/>
  <c r="AD50" i="6"/>
  <c r="AC50" i="6"/>
  <c r="AB50" i="6"/>
  <c r="AK50" i="6"/>
  <c r="AG50" i="6"/>
  <c r="AI50" i="6"/>
  <c r="AH50" i="6"/>
  <c r="AF50" i="6"/>
  <c r="AJ50" i="6"/>
  <c r="AT50" i="6"/>
  <c r="BF50" i="6"/>
  <c r="C53" i="7"/>
  <c r="B52" i="7"/>
  <c r="B57" i="9"/>
  <c r="B55" i="10"/>
  <c r="J53" i="12" l="1"/>
  <c r="L53" i="12"/>
  <c r="D53" i="6"/>
  <c r="K51" i="12"/>
  <c r="A52" i="6"/>
  <c r="AJ51" i="6"/>
  <c r="AH51" i="6"/>
  <c r="AD51" i="6"/>
  <c r="AT51" i="6"/>
  <c r="AN51" i="6"/>
  <c r="AR51" i="6"/>
  <c r="AP51" i="6"/>
  <c r="BA51" i="6"/>
  <c r="AZ51" i="6"/>
  <c r="AV51" i="6"/>
  <c r="AY51" i="6"/>
  <c r="AM51" i="6"/>
  <c r="BC51" i="6"/>
  <c r="BD51" i="6"/>
  <c r="BE51" i="6"/>
  <c r="AX51" i="6"/>
  <c r="BF51" i="6"/>
  <c r="AS51" i="6"/>
  <c r="BG51" i="6"/>
  <c r="AU51" i="6"/>
  <c r="AO51" i="6"/>
  <c r="AQ51" i="6"/>
  <c r="BB51" i="6"/>
  <c r="T51" i="5"/>
  <c r="AB51" i="6"/>
  <c r="AK51" i="6"/>
  <c r="AI51" i="6"/>
  <c r="AF51" i="6"/>
  <c r="AC51" i="6"/>
  <c r="AG51" i="6"/>
  <c r="H54" i="5"/>
  <c r="A54" i="12"/>
  <c r="AD54" i="5"/>
  <c r="AE54" i="5"/>
  <c r="D54" i="5"/>
  <c r="B54" i="12" s="1"/>
  <c r="E54" i="5"/>
  <c r="F54" i="5"/>
  <c r="B54" i="5"/>
  <c r="C55" i="5" s="1"/>
  <c r="N54" i="5"/>
  <c r="D54" i="6" s="1"/>
  <c r="J54" i="5"/>
  <c r="K54" i="5"/>
  <c r="G54" i="5"/>
  <c r="B54" i="6"/>
  <c r="L52" i="12"/>
  <c r="J52" i="12"/>
  <c r="H52" i="6"/>
  <c r="B56" i="10"/>
  <c r="B58" i="9"/>
  <c r="C54" i="7"/>
  <c r="B53" i="7"/>
  <c r="K53" i="12" l="1"/>
  <c r="H53" i="6"/>
  <c r="M52" i="6"/>
  <c r="A53" i="6"/>
  <c r="K52" i="12"/>
  <c r="J54" i="12"/>
  <c r="L54" i="12"/>
  <c r="E55" i="5"/>
  <c r="B55" i="5"/>
  <c r="A55" i="12"/>
  <c r="B55" i="6"/>
  <c r="A55" i="6" s="1"/>
  <c r="AE55" i="5"/>
  <c r="N55" i="5"/>
  <c r="D55" i="6" s="1"/>
  <c r="AD55" i="5"/>
  <c r="W55" i="5"/>
  <c r="C56" i="5"/>
  <c r="G55" i="5"/>
  <c r="F55" i="5"/>
  <c r="H55" i="5"/>
  <c r="H54" i="6"/>
  <c r="T52" i="5"/>
  <c r="E64" i="12"/>
  <c r="F64" i="6"/>
  <c r="C55" i="7"/>
  <c r="B54" i="7"/>
  <c r="B59" i="9"/>
  <c r="B57" i="10"/>
  <c r="M53" i="6" l="1"/>
  <c r="A54" i="6"/>
  <c r="M54" i="6" s="1"/>
  <c r="K54" i="12"/>
  <c r="AS52" i="6"/>
  <c r="BD52" i="6"/>
  <c r="AP52" i="6"/>
  <c r="BA52" i="6"/>
  <c r="BE52" i="6"/>
  <c r="AZ52" i="6"/>
  <c r="AQ52" i="6"/>
  <c r="AU52" i="6"/>
  <c r="AN52" i="6"/>
  <c r="AY52" i="6"/>
  <c r="BF52" i="6"/>
  <c r="AM52" i="6"/>
  <c r="AX52" i="6"/>
  <c r="AO52" i="6"/>
  <c r="BB52" i="6"/>
  <c r="BC52" i="6"/>
  <c r="AV52" i="6"/>
  <c r="AT52" i="6"/>
  <c r="BG52" i="6"/>
  <c r="AR52" i="6"/>
  <c r="AD52" i="6"/>
  <c r="AG52" i="6"/>
  <c r="AK52" i="6"/>
  <c r="AH52" i="6"/>
  <c r="AI52" i="6"/>
  <c r="AJ52" i="6"/>
  <c r="AB52" i="6"/>
  <c r="AC52" i="6"/>
  <c r="AF52" i="6"/>
  <c r="T53" i="5"/>
  <c r="M55" i="6"/>
  <c r="G55" i="6"/>
  <c r="AS55" i="6"/>
  <c r="BE55" i="6"/>
  <c r="H55" i="6"/>
  <c r="T55" i="5" s="1"/>
  <c r="AO55" i="6"/>
  <c r="AX55" i="6"/>
  <c r="BB55" i="6"/>
  <c r="AY55" i="6"/>
  <c r="AP55" i="6"/>
  <c r="AM55" i="6"/>
  <c r="BF55" i="6"/>
  <c r="AZ55" i="6"/>
  <c r="AT55" i="6"/>
  <c r="AU55" i="6"/>
  <c r="BD55" i="6"/>
  <c r="AN55" i="6"/>
  <c r="BG55" i="6"/>
  <c r="AV55" i="6"/>
  <c r="BA55" i="6"/>
  <c r="BC55" i="6"/>
  <c r="AQ55" i="6"/>
  <c r="G56" i="5"/>
  <c r="E56" i="5"/>
  <c r="AD56" i="5"/>
  <c r="W56" i="5"/>
  <c r="A56" i="12"/>
  <c r="F56" i="5"/>
  <c r="B56" i="5"/>
  <c r="C57" i="5" s="1"/>
  <c r="C58" i="5" s="1"/>
  <c r="C59" i="5" s="1"/>
  <c r="H56" i="5"/>
  <c r="N56" i="5"/>
  <c r="D56" i="6" s="1"/>
  <c r="AE56" i="5"/>
  <c r="B56" i="6"/>
  <c r="A56" i="6" s="1"/>
  <c r="T54" i="5"/>
  <c r="B60" i="9"/>
  <c r="B58" i="10"/>
  <c r="C56" i="7"/>
  <c r="B55" i="7"/>
  <c r="B59" i="6" l="1"/>
  <c r="D59" i="5"/>
  <c r="B59" i="12" s="1"/>
  <c r="AE59" i="5"/>
  <c r="N59" i="5"/>
  <c r="AD59" i="5"/>
  <c r="A59" i="12"/>
  <c r="K59" i="5"/>
  <c r="J59" i="5"/>
  <c r="B58" i="6"/>
  <c r="D58" i="5"/>
  <c r="B58" i="12" s="1"/>
  <c r="AE58" i="5"/>
  <c r="N58" i="5"/>
  <c r="AD58" i="5"/>
  <c r="A58" i="12"/>
  <c r="K58" i="5"/>
  <c r="J58" i="5"/>
  <c r="AG53" i="6"/>
  <c r="AF53" i="6"/>
  <c r="AD53" i="6"/>
  <c r="AB53" i="6"/>
  <c r="AM53" i="6"/>
  <c r="AN53" i="6"/>
  <c r="AO53" i="6"/>
  <c r="AP53" i="6"/>
  <c r="AQ53" i="6"/>
  <c r="AR53" i="6"/>
  <c r="AS53" i="6"/>
  <c r="AT53" i="6"/>
  <c r="AU53" i="6"/>
  <c r="AV53" i="6"/>
  <c r="AX53" i="6"/>
  <c r="AY53" i="6"/>
  <c r="AZ53" i="6"/>
  <c r="BA53" i="6"/>
  <c r="BB53" i="6"/>
  <c r="BC53" i="6"/>
  <c r="BD53" i="6"/>
  <c r="BE53" i="6"/>
  <c r="AH53" i="6"/>
  <c r="AK53" i="6"/>
  <c r="BF53" i="6"/>
  <c r="BG53" i="6"/>
  <c r="AC53" i="6"/>
  <c r="AI53" i="6"/>
  <c r="AJ53" i="6"/>
  <c r="AO54" i="6"/>
  <c r="BC54" i="6"/>
  <c r="BE54" i="6"/>
  <c r="AM54" i="6"/>
  <c r="AR54" i="6"/>
  <c r="AY54" i="6"/>
  <c r="AT54" i="6"/>
  <c r="AN54" i="6"/>
  <c r="BF54" i="6"/>
  <c r="AX54" i="6"/>
  <c r="AP54" i="6"/>
  <c r="AQ54" i="6"/>
  <c r="AV54" i="6"/>
  <c r="AZ54" i="6"/>
  <c r="BD54" i="6"/>
  <c r="AU54" i="6"/>
  <c r="BG54" i="6"/>
  <c r="BA54" i="6"/>
  <c r="BB54" i="6"/>
  <c r="AS54" i="6"/>
  <c r="AH54" i="6"/>
  <c r="AD54" i="6"/>
  <c r="AC54" i="6"/>
  <c r="AG54" i="6"/>
  <c r="AI54" i="6"/>
  <c r="AK54" i="6"/>
  <c r="AJ54" i="6"/>
  <c r="AF54" i="6"/>
  <c r="AB54" i="6"/>
  <c r="AD57" i="5"/>
  <c r="E57" i="5"/>
  <c r="E58" i="5" s="1"/>
  <c r="E59" i="5" s="1"/>
  <c r="H57" i="5"/>
  <c r="H58" i="5" s="1"/>
  <c r="H59" i="5" s="1"/>
  <c r="F57" i="5"/>
  <c r="F58" i="5" s="1"/>
  <c r="F59" i="5" s="1"/>
  <c r="B57" i="5"/>
  <c r="B58" i="5" s="1"/>
  <c r="B59" i="5" s="1"/>
  <c r="B57" i="6"/>
  <c r="A57" i="12"/>
  <c r="AE57" i="5"/>
  <c r="N57" i="5"/>
  <c r="D57" i="6" s="1"/>
  <c r="G57" i="5"/>
  <c r="G58" i="5" s="1"/>
  <c r="G59" i="5" s="1"/>
  <c r="G56" i="6"/>
  <c r="M56" i="6"/>
  <c r="BF56" i="6" s="1"/>
  <c r="H56" i="6"/>
  <c r="AV56" i="6"/>
  <c r="BA56" i="6"/>
  <c r="AY56" i="6"/>
  <c r="AM56" i="6"/>
  <c r="AU56" i="6"/>
  <c r="AN56" i="6"/>
  <c r="AR56" i="6"/>
  <c r="AP56" i="6"/>
  <c r="AT56" i="6"/>
  <c r="BC56" i="6"/>
  <c r="BG56" i="6"/>
  <c r="AQ56" i="6"/>
  <c r="AZ56" i="6"/>
  <c r="BD56" i="6"/>
  <c r="BE56" i="6"/>
  <c r="AX56" i="6"/>
  <c r="AO56" i="6"/>
  <c r="AS56" i="6"/>
  <c r="BB56" i="6"/>
  <c r="AR55" i="6"/>
  <c r="AF55" i="6"/>
  <c r="AD55" i="6"/>
  <c r="AK55" i="6"/>
  <c r="AJ55" i="6"/>
  <c r="AH55" i="6"/>
  <c r="AI55" i="6"/>
  <c r="AC55" i="6"/>
  <c r="AG55" i="6"/>
  <c r="AB55" i="6"/>
  <c r="B56" i="7"/>
  <c r="C57" i="7"/>
  <c r="B59" i="10"/>
  <c r="B61" i="9"/>
  <c r="J59" i="12" l="1"/>
  <c r="L59" i="12"/>
  <c r="D59" i="6"/>
  <c r="J58" i="12"/>
  <c r="L58" i="12"/>
  <c r="D58" i="6"/>
  <c r="C60" i="5"/>
  <c r="AD60" i="5" s="1"/>
  <c r="H57" i="6"/>
  <c r="A57" i="6"/>
  <c r="M57" i="6" s="1"/>
  <c r="T56" i="5"/>
  <c r="AB56" i="6"/>
  <c r="AJ56" i="6"/>
  <c r="AH56" i="6"/>
  <c r="AC56" i="6"/>
  <c r="AI56" i="6"/>
  <c r="AD56" i="6"/>
  <c r="AK56" i="6"/>
  <c r="AF56" i="6"/>
  <c r="AG56" i="6"/>
  <c r="B62" i="9"/>
  <c r="B60" i="10"/>
  <c r="B57" i="7"/>
  <c r="C58" i="7"/>
  <c r="K59" i="12" l="1"/>
  <c r="K58" i="12"/>
  <c r="H59" i="6"/>
  <c r="T59" i="5" s="1"/>
  <c r="A58" i="6"/>
  <c r="H58" i="6"/>
  <c r="T58" i="5" s="1"/>
  <c r="AE60" i="5"/>
  <c r="F60" i="5"/>
  <c r="B60" i="5"/>
  <c r="E60" i="5"/>
  <c r="W60" i="5"/>
  <c r="N60" i="5"/>
  <c r="D60" i="6" s="1"/>
  <c r="BD60" i="6" s="1"/>
  <c r="G60" i="5"/>
  <c r="H60" i="5"/>
  <c r="C61" i="5"/>
  <c r="B60" i="6"/>
  <c r="A60" i="6" s="1"/>
  <c r="A60" i="12"/>
  <c r="T57" i="5"/>
  <c r="AG57" i="6"/>
  <c r="AF57" i="6"/>
  <c r="AC57" i="6"/>
  <c r="AD57" i="6"/>
  <c r="AB57" i="6"/>
  <c r="AH57" i="6"/>
  <c r="AI57" i="6"/>
  <c r="AK57" i="6"/>
  <c r="AJ57" i="6"/>
  <c r="AY57" i="6"/>
  <c r="BC57" i="6"/>
  <c r="BG57" i="6"/>
  <c r="AN57" i="6"/>
  <c r="AQ57" i="6"/>
  <c r="AS57" i="6"/>
  <c r="BF57" i="6"/>
  <c r="AZ57" i="6"/>
  <c r="AP57" i="6"/>
  <c r="AM57" i="6"/>
  <c r="BE57" i="6"/>
  <c r="AO57" i="6"/>
  <c r="BB57" i="6"/>
  <c r="AU57" i="6"/>
  <c r="AX57" i="6"/>
  <c r="BD57" i="6"/>
  <c r="AR57" i="6"/>
  <c r="BA57" i="6"/>
  <c r="AV57" i="6"/>
  <c r="AT57" i="6"/>
  <c r="C59" i="7"/>
  <c r="B58" i="7"/>
  <c r="B61" i="10"/>
  <c r="B63" i="9"/>
  <c r="D61" i="5" l="1"/>
  <c r="B61" i="12" s="1"/>
  <c r="N58" i="6"/>
  <c r="A59" i="6"/>
  <c r="F61" i="5"/>
  <c r="K61" i="5"/>
  <c r="M58" i="6"/>
  <c r="BE58" i="6" s="1"/>
  <c r="AX60" i="6"/>
  <c r="AR60" i="6"/>
  <c r="BF60" i="6"/>
  <c r="AN60" i="6"/>
  <c r="BG60" i="6"/>
  <c r="AS60" i="6"/>
  <c r="BA60" i="6"/>
  <c r="AM60" i="6"/>
  <c r="M60" i="6"/>
  <c r="AU60" i="6" s="1"/>
  <c r="BB60" i="6"/>
  <c r="H60" i="6"/>
  <c r="T60" i="5" s="1"/>
  <c r="AQ60" i="6"/>
  <c r="AD61" i="5"/>
  <c r="A61" i="12"/>
  <c r="L61" i="12" s="1"/>
  <c r="H61" i="5"/>
  <c r="AZ60" i="6"/>
  <c r="AE61" i="5"/>
  <c r="BE60" i="6"/>
  <c r="J61" i="5"/>
  <c r="E61" i="5"/>
  <c r="N61" i="5"/>
  <c r="D61" i="6" s="1"/>
  <c r="H61" i="6" s="1"/>
  <c r="G60" i="6"/>
  <c r="BC60" i="6"/>
  <c r="G61" i="5"/>
  <c r="B61" i="6"/>
  <c r="AV60" i="6"/>
  <c r="AP60" i="6"/>
  <c r="B61" i="5"/>
  <c r="AO60" i="6"/>
  <c r="AT60" i="6"/>
  <c r="AY60" i="6"/>
  <c r="C60" i="7"/>
  <c r="B59" i="7"/>
  <c r="B64" i="9"/>
  <c r="B62" i="10"/>
  <c r="C62" i="5" l="1"/>
  <c r="N59" i="6"/>
  <c r="M59" i="6"/>
  <c r="AO58" i="6"/>
  <c r="AY58" i="6"/>
  <c r="BD58" i="6"/>
  <c r="AX58" i="6"/>
  <c r="AR58" i="6"/>
  <c r="AQ58" i="6"/>
  <c r="AZ58" i="6"/>
  <c r="BG58" i="6"/>
  <c r="AJ58" i="6"/>
  <c r="BC58" i="6"/>
  <c r="AI58" i="6"/>
  <c r="AM58" i="6"/>
  <c r="AH60" i="6"/>
  <c r="AF58" i="6"/>
  <c r="AN58" i="6"/>
  <c r="AP58" i="6"/>
  <c r="AC58" i="6"/>
  <c r="AB60" i="6"/>
  <c r="AD60" i="6"/>
  <c r="AG60" i="6"/>
  <c r="AG58" i="6"/>
  <c r="AK60" i="6"/>
  <c r="AT58" i="6"/>
  <c r="AU58" i="6"/>
  <c r="AB58" i="6"/>
  <c r="BF58" i="6"/>
  <c r="AF60" i="6"/>
  <c r="BA58" i="6"/>
  <c r="AH58" i="6"/>
  <c r="AK58" i="6"/>
  <c r="AJ60" i="6"/>
  <c r="AD58" i="6"/>
  <c r="AS58" i="6"/>
  <c r="AI60" i="6"/>
  <c r="A61" i="6"/>
  <c r="AV58" i="6"/>
  <c r="BB58" i="6"/>
  <c r="AC60" i="6"/>
  <c r="J61" i="12"/>
  <c r="K61" i="12" s="1"/>
  <c r="T61" i="5"/>
  <c r="B63" i="10"/>
  <c r="C61" i="7"/>
  <c r="B60" i="7"/>
  <c r="M61" i="6" l="1"/>
  <c r="AO61" i="6" s="1"/>
  <c r="J62" i="5"/>
  <c r="H62" i="5"/>
  <c r="G62" i="5"/>
  <c r="F62" i="5"/>
  <c r="E62" i="5"/>
  <c r="D62" i="5"/>
  <c r="B62" i="12" s="1"/>
  <c r="B62" i="5"/>
  <c r="A62" i="12"/>
  <c r="AE62" i="5"/>
  <c r="N62" i="5"/>
  <c r="B62" i="6"/>
  <c r="AD62" i="5"/>
  <c r="K62" i="5"/>
  <c r="C63" i="5"/>
  <c r="BE59" i="6"/>
  <c r="BA59" i="6"/>
  <c r="AR59" i="6"/>
  <c r="AN59" i="6"/>
  <c r="AB59" i="6"/>
  <c r="AV59" i="6"/>
  <c r="BD59" i="6"/>
  <c r="AZ59" i="6"/>
  <c r="AQ59" i="6"/>
  <c r="AM59" i="6"/>
  <c r="AU59" i="6"/>
  <c r="BF59" i="6"/>
  <c r="BC59" i="6"/>
  <c r="AS59" i="6"/>
  <c r="BG59" i="6"/>
  <c r="AP59" i="6"/>
  <c r="AY59" i="6"/>
  <c r="AT59" i="6"/>
  <c r="AX59" i="6"/>
  <c r="BB59" i="6"/>
  <c r="AO59" i="6"/>
  <c r="AH59" i="6"/>
  <c r="AD59" i="6"/>
  <c r="AF59" i="6"/>
  <c r="AI59" i="6"/>
  <c r="AJ59" i="6"/>
  <c r="AG59" i="6"/>
  <c r="AK59" i="6"/>
  <c r="AC59" i="6"/>
  <c r="BE61" i="6"/>
  <c r="AB61" i="6"/>
  <c r="AG61" i="6"/>
  <c r="BF61" i="6"/>
  <c r="AZ61" i="6"/>
  <c r="BG61" i="6"/>
  <c r="AT61" i="6"/>
  <c r="AX61" i="6"/>
  <c r="AF61" i="6"/>
  <c r="BA61" i="6"/>
  <c r="BB61" i="6"/>
  <c r="BD61" i="6"/>
  <c r="AP61" i="6"/>
  <c r="AQ61" i="6"/>
  <c r="AK61" i="6"/>
  <c r="AU61" i="6"/>
  <c r="AR61" i="6"/>
  <c r="BC61" i="6"/>
  <c r="AJ61" i="6"/>
  <c r="AC61" i="6"/>
  <c r="AS61" i="6"/>
  <c r="AM61" i="6"/>
  <c r="AY61" i="6"/>
  <c r="AD61" i="6"/>
  <c r="AI61" i="6"/>
  <c r="AH61" i="6"/>
  <c r="AV61" i="6"/>
  <c r="C62" i="7"/>
  <c r="B61" i="7"/>
  <c r="B64" i="10"/>
  <c r="AN61" i="6" l="1"/>
  <c r="J62" i="12"/>
  <c r="L62" i="12"/>
  <c r="K63" i="5"/>
  <c r="D63" i="5"/>
  <c r="B63" i="12" s="1"/>
  <c r="N63" i="5"/>
  <c r="D63" i="6" s="1"/>
  <c r="H63" i="6" s="1"/>
  <c r="T63" i="5" s="1"/>
  <c r="B63" i="6"/>
  <c r="H63" i="5"/>
  <c r="B63" i="5"/>
  <c r="C64" i="5" s="1"/>
  <c r="AD63" i="5"/>
  <c r="E63" i="5"/>
  <c r="AE63" i="5"/>
  <c r="F63" i="5"/>
  <c r="J63" i="5"/>
  <c r="G63" i="5"/>
  <c r="A63" i="12"/>
  <c r="D62" i="6"/>
  <c r="A62" i="6" s="1"/>
  <c r="E73" i="12"/>
  <c r="F73" i="6"/>
  <c r="B62" i="7"/>
  <c r="C63" i="7"/>
  <c r="K62" i="12" l="1"/>
  <c r="A63" i="6"/>
  <c r="M63" i="6" s="1"/>
  <c r="AK63" i="6" s="1"/>
  <c r="L63" i="12"/>
  <c r="J63" i="12"/>
  <c r="N62" i="6"/>
  <c r="M62" i="6"/>
  <c r="AO62" i="6" s="1"/>
  <c r="H62" i="6"/>
  <c r="T62" i="5" s="1"/>
  <c r="N64" i="5"/>
  <c r="D64" i="6" s="1"/>
  <c r="W64" i="5"/>
  <c r="B64" i="5"/>
  <c r="C65" i="5"/>
  <c r="C66" i="5" s="1"/>
  <c r="B66" i="6" s="1"/>
  <c r="AD64" i="5"/>
  <c r="A64" i="12"/>
  <c r="H64" i="5"/>
  <c r="B64" i="6"/>
  <c r="A64" i="6" s="1"/>
  <c r="F64" i="5"/>
  <c r="E64" i="5"/>
  <c r="G64" i="5"/>
  <c r="AE64" i="5"/>
  <c r="B63" i="7"/>
  <c r="C64" i="7"/>
  <c r="B64" i="7" s="1"/>
  <c r="BA63" i="6" l="1"/>
  <c r="AQ63" i="6"/>
  <c r="AS63" i="6"/>
  <c r="AD63" i="6"/>
  <c r="BE63" i="6"/>
  <c r="AO63" i="6"/>
  <c r="AP63" i="6"/>
  <c r="AY63" i="6"/>
  <c r="AC63" i="6"/>
  <c r="AR63" i="6"/>
  <c r="BB63" i="6"/>
  <c r="AG63" i="6"/>
  <c r="BC63" i="6"/>
  <c r="BF62" i="6"/>
  <c r="AX62" i="6"/>
  <c r="BB62" i="6"/>
  <c r="AC62" i="6"/>
  <c r="K63" i="12"/>
  <c r="AG62" i="6"/>
  <c r="AK62" i="6"/>
  <c r="AP62" i="6"/>
  <c r="AT62" i="6"/>
  <c r="AY62" i="6"/>
  <c r="BC62" i="6"/>
  <c r="BD62" i="6"/>
  <c r="AM62" i="6"/>
  <c r="AN63" i="6"/>
  <c r="AH63" i="6"/>
  <c r="BG62" i="6"/>
  <c r="AH62" i="6"/>
  <c r="AZ62" i="6"/>
  <c r="AX63" i="6"/>
  <c r="AR62" i="6"/>
  <c r="AU62" i="6"/>
  <c r="AZ63" i="6"/>
  <c r="AN62" i="6"/>
  <c r="BF63" i="6"/>
  <c r="AV63" i="6"/>
  <c r="AT63" i="6"/>
  <c r="AM63" i="6"/>
  <c r="AI62" i="6"/>
  <c r="AD62" i="6"/>
  <c r="AV62" i="6"/>
  <c r="BA62" i="6"/>
  <c r="AF63" i="6"/>
  <c r="AQ62" i="6"/>
  <c r="BE62" i="6"/>
  <c r="BG63" i="6"/>
  <c r="AF62" i="6"/>
  <c r="AB62" i="6"/>
  <c r="AJ63" i="6"/>
  <c r="BD63" i="6"/>
  <c r="N65" i="5"/>
  <c r="D65" i="6" s="1"/>
  <c r="AD65" i="5"/>
  <c r="AE65" i="5"/>
  <c r="D65" i="5"/>
  <c r="B65" i="12" s="1"/>
  <c r="B65" i="6"/>
  <c r="G65" i="5"/>
  <c r="J65" i="5"/>
  <c r="H65" i="5"/>
  <c r="H66" i="5" s="1"/>
  <c r="B65" i="5"/>
  <c r="B66" i="5" s="1"/>
  <c r="K65" i="5"/>
  <c r="E65" i="5"/>
  <c r="E66" i="5" s="1"/>
  <c r="A65" i="12"/>
  <c r="F65" i="5"/>
  <c r="F66" i="5" s="1"/>
  <c r="BD64" i="6"/>
  <c r="AP64" i="6"/>
  <c r="AM64" i="6"/>
  <c r="AT64" i="6"/>
  <c r="AU64" i="6"/>
  <c r="AS64" i="6"/>
  <c r="AO64" i="6"/>
  <c r="BA64" i="6"/>
  <c r="AV64" i="6"/>
  <c r="AY64" i="6"/>
  <c r="AR64" i="6"/>
  <c r="BC64" i="6"/>
  <c r="BG64" i="6"/>
  <c r="AX64" i="6"/>
  <c r="BE64" i="6"/>
  <c r="H64" i="6"/>
  <c r="T64" i="5" s="1"/>
  <c r="G64" i="6"/>
  <c r="M64" i="6"/>
  <c r="BF64" i="6" s="1"/>
  <c r="AQ64" i="6"/>
  <c r="AZ64" i="6"/>
  <c r="AN64" i="6"/>
  <c r="BB64" i="6"/>
  <c r="AS62" i="6"/>
  <c r="AJ62" i="6"/>
  <c r="AU63" i="6"/>
  <c r="AB63" i="6"/>
  <c r="AI63" i="6"/>
  <c r="K66" i="5"/>
  <c r="AE66" i="5"/>
  <c r="G66" i="5"/>
  <c r="J66" i="5"/>
  <c r="A66" i="12"/>
  <c r="L66" i="12" s="1"/>
  <c r="C67" i="5"/>
  <c r="N66" i="5"/>
  <c r="D66" i="6" s="1"/>
  <c r="AD66" i="5"/>
  <c r="D66" i="5"/>
  <c r="B66" i="12" s="1"/>
  <c r="AE12" i="6"/>
  <c r="H14" i="6"/>
  <c r="AJ14" i="6" s="1"/>
  <c r="K11" i="10"/>
  <c r="AP12" i="6"/>
  <c r="J11" i="9"/>
  <c r="BA12" i="6"/>
  <c r="AE23" i="6" l="1"/>
  <c r="AE42" i="6"/>
  <c r="AC64" i="6"/>
  <c r="A65" i="6"/>
  <c r="M65" i="6" s="1"/>
  <c r="AX65" i="6" s="1"/>
  <c r="AF64" i="6"/>
  <c r="AJ64" i="6"/>
  <c r="AI64" i="6"/>
  <c r="H65" i="6"/>
  <c r="T65" i="5" s="1"/>
  <c r="AD64" i="6"/>
  <c r="L65" i="12"/>
  <c r="J65" i="12"/>
  <c r="AB64" i="6"/>
  <c r="AK64" i="6"/>
  <c r="AH64" i="6"/>
  <c r="AE62" i="6"/>
  <c r="AG64" i="6"/>
  <c r="AE41" i="6"/>
  <c r="AE59" i="6"/>
  <c r="F67" i="5"/>
  <c r="AD67" i="5"/>
  <c r="C68" i="5"/>
  <c r="J66" i="12"/>
  <c r="K66" i="12" s="1"/>
  <c r="B67" i="6"/>
  <c r="E67" i="5"/>
  <c r="A67" i="12"/>
  <c r="L67" i="12" s="1"/>
  <c r="H66" i="6"/>
  <c r="J67" i="5"/>
  <c r="N67" i="5"/>
  <c r="D67" i="6" s="1"/>
  <c r="D67" i="5"/>
  <c r="B67" i="12" s="1"/>
  <c r="AE67" i="5"/>
  <c r="G67" i="5"/>
  <c r="K67" i="5"/>
  <c r="B67" i="5"/>
  <c r="H67" i="5"/>
  <c r="AE53" i="6"/>
  <c r="AE58" i="6"/>
  <c r="AE37" i="6"/>
  <c r="AE43" i="6"/>
  <c r="AE44" i="6"/>
  <c r="AE45" i="6"/>
  <c r="AE28" i="6"/>
  <c r="AE29" i="6"/>
  <c r="AE30" i="6"/>
  <c r="AE16" i="6"/>
  <c r="AE19" i="6"/>
  <c r="AE55" i="6"/>
  <c r="AE56" i="6"/>
  <c r="AE57" i="6"/>
  <c r="AE60" i="6"/>
  <c r="AE61" i="6"/>
  <c r="AE63" i="6"/>
  <c r="AE64" i="6"/>
  <c r="AE36" i="6"/>
  <c r="AE35" i="6"/>
  <c r="AE50" i="6"/>
  <c r="AE51" i="6"/>
  <c r="AE52" i="6"/>
  <c r="AE48" i="6"/>
  <c r="AE33" i="6"/>
  <c r="AE25" i="6"/>
  <c r="AE20" i="6"/>
  <c r="AE21" i="6"/>
  <c r="AE22" i="6"/>
  <c r="AE24" i="6"/>
  <c r="AE38" i="6"/>
  <c r="AE17" i="6"/>
  <c r="AE18" i="6"/>
  <c r="AE26" i="6"/>
  <c r="AE27" i="6"/>
  <c r="AE31" i="6"/>
  <c r="AE32" i="6"/>
  <c r="AE34" i="6"/>
  <c r="AE39" i="6"/>
  <c r="AE40" i="6"/>
  <c r="AE46" i="6"/>
  <c r="AE47" i="6"/>
  <c r="AE49" i="6"/>
  <c r="AE54" i="6"/>
  <c r="AK14" i="6"/>
  <c r="T14" i="5"/>
  <c r="AB14" i="6"/>
  <c r="AE14" i="6"/>
  <c r="AD14" i="6"/>
  <c r="AH14" i="6"/>
  <c r="AC14" i="6"/>
  <c r="AG14" i="6"/>
  <c r="AI14" i="6"/>
  <c r="AF14" i="6"/>
  <c r="AE65" i="6" l="1"/>
  <c r="A66" i="6"/>
  <c r="M66" i="6" s="1"/>
  <c r="AT66" i="6" s="1"/>
  <c r="AP65" i="6"/>
  <c r="BD65" i="6"/>
  <c r="AY65" i="6"/>
  <c r="BA65" i="6"/>
  <c r="BE65" i="6"/>
  <c r="BF65" i="6"/>
  <c r="AT65" i="6"/>
  <c r="BC65" i="6"/>
  <c r="AR65" i="6"/>
  <c r="AC65" i="6"/>
  <c r="AO65" i="6"/>
  <c r="BG65" i="6"/>
  <c r="AZ65" i="6"/>
  <c r="BB65" i="6"/>
  <c r="AM65" i="6"/>
  <c r="AK65" i="6"/>
  <c r="AV65" i="6"/>
  <c r="AH65" i="6"/>
  <c r="A67" i="6"/>
  <c r="M67" i="6" s="1"/>
  <c r="AR67" i="6" s="1"/>
  <c r="AI65" i="6"/>
  <c r="AU65" i="6"/>
  <c r="AN65" i="6"/>
  <c r="AS65" i="6"/>
  <c r="AQ65" i="6"/>
  <c r="K65" i="12"/>
  <c r="AJ65" i="6"/>
  <c r="AB65" i="6"/>
  <c r="AF65" i="6"/>
  <c r="AD65" i="6"/>
  <c r="AG65" i="6"/>
  <c r="J67" i="12"/>
  <c r="K67" i="12" s="1"/>
  <c r="T66" i="5"/>
  <c r="D68" i="5"/>
  <c r="B68" i="12" s="1"/>
  <c r="B68" i="6"/>
  <c r="B68" i="5"/>
  <c r="AE68" i="5"/>
  <c r="N68" i="5"/>
  <c r="AD68" i="5"/>
  <c r="E68" i="5"/>
  <c r="K68" i="5"/>
  <c r="J68" i="5"/>
  <c r="A68" i="12"/>
  <c r="C69" i="5"/>
  <c r="H68" i="5"/>
  <c r="G68" i="5"/>
  <c r="F68" i="5"/>
  <c r="H67" i="6"/>
  <c r="J57" i="5"/>
  <c r="K57" i="5"/>
  <c r="K56" i="5"/>
  <c r="J25" i="5"/>
  <c r="D25" i="5" s="1"/>
  <c r="B25" i="12" s="1"/>
  <c r="J21" i="5"/>
  <c r="D21" i="5" s="1"/>
  <c r="B21" i="12" s="1"/>
  <c r="G14" i="12"/>
  <c r="X14" i="5"/>
  <c r="AH66" i="6" l="1"/>
  <c r="AQ66" i="6"/>
  <c r="AO66" i="6"/>
  <c r="AC66" i="6"/>
  <c r="AD66" i="6"/>
  <c r="AJ66" i="6"/>
  <c r="BC66" i="6"/>
  <c r="AX66" i="6"/>
  <c r="AR66" i="6"/>
  <c r="BG66" i="6"/>
  <c r="AE66" i="6"/>
  <c r="AY66" i="6"/>
  <c r="AS66" i="6"/>
  <c r="AM66" i="6"/>
  <c r="BE66" i="6"/>
  <c r="AU66" i="6"/>
  <c r="AG66" i="6"/>
  <c r="BA66" i="6"/>
  <c r="AK66" i="6"/>
  <c r="AV66" i="6"/>
  <c r="BF66" i="6"/>
  <c r="AP66" i="6"/>
  <c r="AI66" i="6"/>
  <c r="AZ66" i="6"/>
  <c r="AN66" i="6"/>
  <c r="AB66" i="6"/>
  <c r="BB66" i="6"/>
  <c r="AF66" i="6"/>
  <c r="BD66" i="6"/>
  <c r="BA67" i="6"/>
  <c r="AY67" i="6"/>
  <c r="BC67" i="6"/>
  <c r="AU67" i="6"/>
  <c r="AP67" i="6"/>
  <c r="AF67" i="6"/>
  <c r="AV67" i="6"/>
  <c r="BB67" i="6"/>
  <c r="AS67" i="6"/>
  <c r="BD67" i="6"/>
  <c r="BF67" i="6"/>
  <c r="AN67" i="6"/>
  <c r="BE67" i="6"/>
  <c r="AO67" i="6"/>
  <c r="AX67" i="6"/>
  <c r="AT67" i="6"/>
  <c r="AZ67" i="6"/>
  <c r="AQ67" i="6"/>
  <c r="BG67" i="6"/>
  <c r="AM67" i="6"/>
  <c r="AK67" i="6"/>
  <c r="AI67" i="6"/>
  <c r="AG67" i="6"/>
  <c r="AD67" i="6"/>
  <c r="AE67" i="6"/>
  <c r="AC67" i="6"/>
  <c r="AB67" i="6"/>
  <c r="AJ67" i="6"/>
  <c r="AH67" i="6"/>
  <c r="D68" i="6"/>
  <c r="A68" i="6" s="1"/>
  <c r="J69" i="5"/>
  <c r="H69" i="5"/>
  <c r="G69" i="5"/>
  <c r="F69" i="5"/>
  <c r="E69" i="5"/>
  <c r="D69" i="5"/>
  <c r="B69" i="12" s="1"/>
  <c r="B69" i="5"/>
  <c r="A69" i="12"/>
  <c r="AE69" i="5"/>
  <c r="N69" i="5"/>
  <c r="B69" i="6"/>
  <c r="AD69" i="5"/>
  <c r="K69" i="5"/>
  <c r="C70" i="5"/>
  <c r="L68" i="12"/>
  <c r="J68" i="12"/>
  <c r="D57" i="5"/>
  <c r="B57" i="12" s="1"/>
  <c r="I14" i="12"/>
  <c r="L14" i="5"/>
  <c r="I14" i="5"/>
  <c r="Z14" i="5"/>
  <c r="AM14" i="5"/>
  <c r="D69" i="6" l="1"/>
  <c r="J69" i="12"/>
  <c r="L69" i="12"/>
  <c r="K68" i="12"/>
  <c r="D70" i="5"/>
  <c r="B70" i="12" s="1"/>
  <c r="G70" i="5"/>
  <c r="F70" i="5"/>
  <c r="H70" i="5"/>
  <c r="AE70" i="5"/>
  <c r="B70" i="6"/>
  <c r="J70" i="5"/>
  <c r="K70" i="5"/>
  <c r="C71" i="5"/>
  <c r="A70" i="12"/>
  <c r="AD70" i="5"/>
  <c r="N70" i="5"/>
  <c r="D70" i="6" s="1"/>
  <c r="E70" i="5"/>
  <c r="B70" i="5"/>
  <c r="N68" i="6"/>
  <c r="M68" i="6"/>
  <c r="BG68" i="6" s="1"/>
  <c r="H68" i="6"/>
  <c r="T68" i="5" s="1"/>
  <c r="E82" i="12"/>
  <c r="F82" i="6"/>
  <c r="AA14" i="5"/>
  <c r="AB14" i="5"/>
  <c r="O14" i="5"/>
  <c r="C14" i="6"/>
  <c r="O14" i="12"/>
  <c r="M14" i="12"/>
  <c r="C14" i="12"/>
  <c r="AO14" i="12"/>
  <c r="K69" i="12" l="1"/>
  <c r="AE68" i="6"/>
  <c r="AI68" i="6"/>
  <c r="AV68" i="6"/>
  <c r="AZ68" i="6"/>
  <c r="BE68" i="6"/>
  <c r="BD68" i="6"/>
  <c r="AN68" i="6"/>
  <c r="AH68" i="6"/>
  <c r="AR68" i="6"/>
  <c r="AM68" i="6"/>
  <c r="BA68" i="6"/>
  <c r="AQ68" i="6"/>
  <c r="H70" i="6"/>
  <c r="T70" i="5" s="1"/>
  <c r="L70" i="12"/>
  <c r="J70" i="12"/>
  <c r="B71" i="6"/>
  <c r="AD71" i="5"/>
  <c r="K71" i="5"/>
  <c r="G71" i="5"/>
  <c r="C72" i="5"/>
  <c r="N71" i="5"/>
  <c r="D71" i="6" s="1"/>
  <c r="AE71" i="5"/>
  <c r="A71" i="12"/>
  <c r="D71" i="5"/>
  <c r="B71" i="12" s="1"/>
  <c r="J71" i="5"/>
  <c r="E71" i="5"/>
  <c r="H71" i="5"/>
  <c r="AJ68" i="6"/>
  <c r="AB68" i="6"/>
  <c r="AF68" i="6"/>
  <c r="AX68" i="6"/>
  <c r="AO68" i="6"/>
  <c r="AS68" i="6"/>
  <c r="AU68" i="6"/>
  <c r="BB68" i="6"/>
  <c r="BF68" i="6"/>
  <c r="AC68" i="6"/>
  <c r="AG68" i="6"/>
  <c r="AK68" i="6"/>
  <c r="AP68" i="6"/>
  <c r="AT68" i="6"/>
  <c r="AY68" i="6"/>
  <c r="BC68" i="6"/>
  <c r="F71" i="5"/>
  <c r="H69" i="6"/>
  <c r="T69" i="5" s="1"/>
  <c r="AD68" i="6"/>
  <c r="B71" i="5"/>
  <c r="A69" i="6"/>
  <c r="N69" i="6" s="1"/>
  <c r="N14" i="12"/>
  <c r="Y14" i="12"/>
  <c r="D14" i="12"/>
  <c r="E14" i="6"/>
  <c r="M69" i="6" l="1"/>
  <c r="K70" i="12"/>
  <c r="A70" i="6"/>
  <c r="M70" i="6" s="1"/>
  <c r="J71" i="12"/>
  <c r="L71" i="12"/>
  <c r="H71" i="6"/>
  <c r="T71" i="5" s="1"/>
  <c r="N72" i="5"/>
  <c r="D72" i="6" s="1"/>
  <c r="G72" i="5"/>
  <c r="AD72" i="5"/>
  <c r="K72" i="5"/>
  <c r="J72" i="5"/>
  <c r="E72" i="5"/>
  <c r="B72" i="5"/>
  <c r="C73" i="5" s="1"/>
  <c r="AE72" i="5"/>
  <c r="D72" i="5"/>
  <c r="B72" i="12" s="1"/>
  <c r="B72" i="6"/>
  <c r="A72" i="12"/>
  <c r="H72" i="5"/>
  <c r="F72" i="5"/>
  <c r="J57" i="12"/>
  <c r="L57" i="12"/>
  <c r="W14" i="12"/>
  <c r="X14" i="12"/>
  <c r="K71" i="12" l="1"/>
  <c r="BB69" i="6"/>
  <c r="AX69" i="6"/>
  <c r="AG69" i="6"/>
  <c r="AO69" i="6"/>
  <c r="BE69" i="6"/>
  <c r="AR69" i="6"/>
  <c r="BA69" i="6"/>
  <c r="AV69" i="6"/>
  <c r="AN69" i="6"/>
  <c r="BD69" i="6"/>
  <c r="BG69" i="6"/>
  <c r="AU69" i="6"/>
  <c r="AQ69" i="6"/>
  <c r="AZ69" i="6"/>
  <c r="AM69" i="6"/>
  <c r="AT69" i="6"/>
  <c r="BC69" i="6"/>
  <c r="AY69" i="6"/>
  <c r="AP69" i="6"/>
  <c r="AK69" i="6"/>
  <c r="BF69" i="6"/>
  <c r="AS69" i="6"/>
  <c r="AI69" i="6"/>
  <c r="A71" i="6"/>
  <c r="M71" i="6" s="1"/>
  <c r="AH71" i="6" s="1"/>
  <c r="AZ70" i="6"/>
  <c r="AY70" i="6"/>
  <c r="AE70" i="6"/>
  <c r="AX70" i="6"/>
  <c r="AD70" i="6"/>
  <c r="AF70" i="6"/>
  <c r="AP70" i="6"/>
  <c r="AQ70" i="6"/>
  <c r="BD70" i="6"/>
  <c r="BF70" i="6"/>
  <c r="AV70" i="6"/>
  <c r="AS70" i="6"/>
  <c r="AN70" i="6"/>
  <c r="BC70" i="6"/>
  <c r="AT70" i="6"/>
  <c r="AI70" i="6"/>
  <c r="AG70" i="6"/>
  <c r="AH70" i="6"/>
  <c r="AK70" i="6"/>
  <c r="AM70" i="6"/>
  <c r="AJ70" i="6"/>
  <c r="BA70" i="6"/>
  <c r="AO70" i="6"/>
  <c r="AB70" i="6"/>
  <c r="BB70" i="6"/>
  <c r="BG70" i="6"/>
  <c r="BE70" i="6"/>
  <c r="AC70" i="6"/>
  <c r="AR70" i="6"/>
  <c r="AU70" i="6"/>
  <c r="A72" i="6"/>
  <c r="M72" i="6" s="1"/>
  <c r="BE72" i="6" s="1"/>
  <c r="AH69" i="6"/>
  <c r="AF69" i="6"/>
  <c r="AD69" i="6"/>
  <c r="AC69" i="6"/>
  <c r="H72" i="6"/>
  <c r="T72" i="5" s="1"/>
  <c r="AJ69" i="6"/>
  <c r="A73" i="12"/>
  <c r="E73" i="5"/>
  <c r="AD73" i="5"/>
  <c r="B73" i="5"/>
  <c r="C74" i="5"/>
  <c r="F73" i="5"/>
  <c r="B73" i="6"/>
  <c r="A73" i="6" s="1"/>
  <c r="N73" i="5"/>
  <c r="D73" i="6" s="1"/>
  <c r="AE73" i="5"/>
  <c r="G73" i="5"/>
  <c r="W73" i="5"/>
  <c r="H73" i="5"/>
  <c r="L72" i="12"/>
  <c r="J72" i="12"/>
  <c r="AB69" i="6"/>
  <c r="AJ71" i="6"/>
  <c r="AE69" i="6"/>
  <c r="K57" i="12"/>
  <c r="U14" i="12"/>
  <c r="V14" i="12"/>
  <c r="T14" i="12"/>
  <c r="AB71" i="6" l="1"/>
  <c r="K72" i="12"/>
  <c r="AV72" i="6"/>
  <c r="BG72" i="6"/>
  <c r="AI72" i="6"/>
  <c r="AT72" i="6"/>
  <c r="AU72" i="6"/>
  <c r="AJ72" i="6"/>
  <c r="AR72" i="6"/>
  <c r="BF72" i="6"/>
  <c r="AQ72" i="6"/>
  <c r="AN72" i="6"/>
  <c r="AE72" i="6"/>
  <c r="BB72" i="6"/>
  <c r="AZ72" i="6"/>
  <c r="AX72" i="6"/>
  <c r="AB72" i="6"/>
  <c r="AR73" i="6"/>
  <c r="H73" i="6"/>
  <c r="T73" i="5" s="1"/>
  <c r="AX73" i="6"/>
  <c r="AP73" i="6"/>
  <c r="AO73" i="6"/>
  <c r="G73" i="6"/>
  <c r="AS73" i="6"/>
  <c r="AM73" i="6"/>
  <c r="AU73" i="6"/>
  <c r="BD73" i="6"/>
  <c r="M73" i="6"/>
  <c r="BC73" i="6"/>
  <c r="BA73" i="6"/>
  <c r="AV73" i="6"/>
  <c r="BE73" i="6"/>
  <c r="AY73" i="6"/>
  <c r="BF73" i="6"/>
  <c r="BG73" i="6"/>
  <c r="AZ73" i="6"/>
  <c r="AN73" i="6"/>
  <c r="AT73" i="6"/>
  <c r="AQ73" i="6"/>
  <c r="BB73" i="6"/>
  <c r="AO72" i="6"/>
  <c r="AH72" i="6"/>
  <c r="AY72" i="6"/>
  <c r="AD72" i="6"/>
  <c r="AG72" i="6"/>
  <c r="AP72" i="6"/>
  <c r="BC72" i="6"/>
  <c r="AC72" i="6"/>
  <c r="BA72" i="6"/>
  <c r="AF72" i="6"/>
  <c r="BD72" i="6"/>
  <c r="C75" i="5"/>
  <c r="F74" i="5"/>
  <c r="B74" i="6"/>
  <c r="E74" i="5"/>
  <c r="N74" i="5"/>
  <c r="D74" i="6" s="1"/>
  <c r="D74" i="5"/>
  <c r="B74" i="12" s="1"/>
  <c r="H74" i="5"/>
  <c r="B74" i="5"/>
  <c r="G74" i="5"/>
  <c r="AE74" i="5"/>
  <c r="J74" i="5"/>
  <c r="AD74" i="5"/>
  <c r="K74" i="5"/>
  <c r="A74" i="12"/>
  <c r="AK72" i="6"/>
  <c r="AM72" i="6"/>
  <c r="AS72" i="6"/>
  <c r="BE71" i="6"/>
  <c r="AS71" i="6"/>
  <c r="BF71" i="6"/>
  <c r="AK71" i="6"/>
  <c r="AV71" i="6"/>
  <c r="AP71" i="6"/>
  <c r="AM71" i="6"/>
  <c r="BB71" i="6"/>
  <c r="AN71" i="6"/>
  <c r="AY71" i="6"/>
  <c r="AE71" i="6"/>
  <c r="AQ71" i="6"/>
  <c r="AU71" i="6"/>
  <c r="AG71" i="6"/>
  <c r="AO71" i="6"/>
  <c r="AD71" i="6"/>
  <c r="AT71" i="6"/>
  <c r="BA71" i="6"/>
  <c r="BC71" i="6"/>
  <c r="AF71" i="6"/>
  <c r="AI71" i="6"/>
  <c r="BD71" i="6"/>
  <c r="AZ71" i="6"/>
  <c r="AR71" i="6"/>
  <c r="AX71" i="6"/>
  <c r="AC71" i="6"/>
  <c r="BG71" i="6"/>
  <c r="E87" i="12"/>
  <c r="F87" i="6"/>
  <c r="AE3" i="6"/>
  <c r="T6" i="6" s="1"/>
  <c r="AD73" i="6" l="1"/>
  <c r="AE73" i="6"/>
  <c r="AG73" i="6"/>
  <c r="AI73" i="6"/>
  <c r="H74" i="6"/>
  <c r="T74" i="5" s="1"/>
  <c r="AF73" i="6"/>
  <c r="AK73" i="6"/>
  <c r="A74" i="6"/>
  <c r="M74" i="6" s="1"/>
  <c r="BD74" i="6" s="1"/>
  <c r="L74" i="12"/>
  <c r="J74" i="12"/>
  <c r="J75" i="5"/>
  <c r="D75" i="5"/>
  <c r="B75" i="12" s="1"/>
  <c r="E75" i="5"/>
  <c r="AE75" i="5"/>
  <c r="N75" i="5"/>
  <c r="D75" i="6" s="1"/>
  <c r="G75" i="5"/>
  <c r="A75" i="12"/>
  <c r="F75" i="5"/>
  <c r="C76" i="5"/>
  <c r="B75" i="5"/>
  <c r="K75" i="5"/>
  <c r="B75" i="6"/>
  <c r="AD75" i="5"/>
  <c r="H75" i="5"/>
  <c r="AB73" i="6"/>
  <c r="AC73" i="6"/>
  <c r="AJ73" i="6"/>
  <c r="AH73" i="6"/>
  <c r="F88" i="6"/>
  <c r="E88" i="12"/>
  <c r="K74" i="12" l="1"/>
  <c r="B76" i="5"/>
  <c r="AE76" i="5"/>
  <c r="N76" i="5"/>
  <c r="D76" i="6" s="1"/>
  <c r="C77" i="5"/>
  <c r="AD76" i="5"/>
  <c r="A76" i="12"/>
  <c r="J76" i="5"/>
  <c r="K76" i="5"/>
  <c r="G76" i="5"/>
  <c r="E76" i="5"/>
  <c r="B76" i="6"/>
  <c r="H76" i="5"/>
  <c r="F76" i="5"/>
  <c r="D76" i="5"/>
  <c r="B76" i="12" s="1"/>
  <c r="AQ74" i="6"/>
  <c r="AX74" i="6"/>
  <c r="AJ74" i="6"/>
  <c r="AU74" i="6"/>
  <c r="J75" i="12"/>
  <c r="L75" i="12"/>
  <c r="AZ74" i="6"/>
  <c r="AS74" i="6"/>
  <c r="AH74" i="6"/>
  <c r="BB74" i="6"/>
  <c r="AG74" i="6"/>
  <c r="BE74" i="6"/>
  <c r="H75" i="6"/>
  <c r="T75" i="5" s="1"/>
  <c r="BG74" i="6"/>
  <c r="BF74" i="6"/>
  <c r="AR74" i="6"/>
  <c r="BA74" i="6"/>
  <c r="AT74" i="6"/>
  <c r="AE74" i="6"/>
  <c r="AM74" i="6"/>
  <c r="BC74" i="6"/>
  <c r="AY74" i="6"/>
  <c r="AC74" i="6"/>
  <c r="AD74" i="6"/>
  <c r="AF74" i="6"/>
  <c r="AN74" i="6"/>
  <c r="AV74" i="6"/>
  <c r="A75" i="6"/>
  <c r="M75" i="6" s="1"/>
  <c r="AY75" i="6" s="1"/>
  <c r="AI74" i="6"/>
  <c r="AO74" i="6"/>
  <c r="AP74" i="6"/>
  <c r="AB74" i="6"/>
  <c r="AK74" i="6"/>
  <c r="J46" i="5"/>
  <c r="K34" i="5"/>
  <c r="J34" i="5"/>
  <c r="B15" i="11"/>
  <c r="A15" i="13"/>
  <c r="K17" i="5"/>
  <c r="J17" i="5"/>
  <c r="C78" i="5" l="1"/>
  <c r="K75" i="12"/>
  <c r="BG75" i="6"/>
  <c r="AV75" i="6"/>
  <c r="AS75" i="6"/>
  <c r="AH75" i="6"/>
  <c r="A76" i="6"/>
  <c r="M76" i="6" s="1"/>
  <c r="BE76" i="6" s="1"/>
  <c r="AK75" i="6"/>
  <c r="AR75" i="6"/>
  <c r="BA75" i="6"/>
  <c r="AT75" i="6"/>
  <c r="AC75" i="6"/>
  <c r="AN75" i="6"/>
  <c r="AZ75" i="6"/>
  <c r="BE75" i="6"/>
  <c r="BC75" i="6"/>
  <c r="AX75" i="6"/>
  <c r="AM75" i="6"/>
  <c r="AG75" i="6"/>
  <c r="AU75" i="6"/>
  <c r="AF75" i="6"/>
  <c r="L76" i="12"/>
  <c r="J76" i="12"/>
  <c r="AI75" i="6"/>
  <c r="AE75" i="6"/>
  <c r="BF75" i="6"/>
  <c r="BD75" i="6"/>
  <c r="AD75" i="6"/>
  <c r="AJ75" i="6"/>
  <c r="J77" i="5"/>
  <c r="G77" i="5"/>
  <c r="E77" i="5"/>
  <c r="N77" i="5"/>
  <c r="D77" i="6" s="1"/>
  <c r="F77" i="5"/>
  <c r="A77" i="12"/>
  <c r="B77" i="5"/>
  <c r="D77" i="5"/>
  <c r="B77" i="12" s="1"/>
  <c r="K77" i="5"/>
  <c r="AE77" i="5"/>
  <c r="B77" i="6"/>
  <c r="AD77" i="5"/>
  <c r="H77" i="5"/>
  <c r="AP75" i="6"/>
  <c r="BB75" i="6"/>
  <c r="H76" i="6"/>
  <c r="T76" i="5" s="1"/>
  <c r="AQ75" i="6"/>
  <c r="AO75" i="6"/>
  <c r="AB75" i="6"/>
  <c r="D34" i="5"/>
  <c r="B34" i="12" s="1"/>
  <c r="K15" i="11"/>
  <c r="J15" i="13" s="1"/>
  <c r="G15" i="11"/>
  <c r="F15" i="13" s="1"/>
  <c r="C15" i="13"/>
  <c r="D17" i="5"/>
  <c r="B78" i="6" l="1"/>
  <c r="H78" i="5"/>
  <c r="G78" i="5"/>
  <c r="F78" i="5"/>
  <c r="E78" i="5"/>
  <c r="D78" i="5"/>
  <c r="B78" i="12" s="1"/>
  <c r="B78" i="5"/>
  <c r="AE78" i="5"/>
  <c r="N78" i="5"/>
  <c r="AD78" i="5"/>
  <c r="A78" i="12"/>
  <c r="K78" i="5"/>
  <c r="J78" i="5"/>
  <c r="C79" i="5"/>
  <c r="H79" i="5" s="1"/>
  <c r="K76" i="12"/>
  <c r="BC76" i="6"/>
  <c r="AI76" i="6"/>
  <c r="AU76" i="6"/>
  <c r="AN76" i="6"/>
  <c r="AY76" i="6"/>
  <c r="BG76" i="6"/>
  <c r="AV76" i="6"/>
  <c r="AE76" i="6"/>
  <c r="AB76" i="6"/>
  <c r="AH76" i="6"/>
  <c r="AT76" i="6"/>
  <c r="AR76" i="6"/>
  <c r="AF76" i="6"/>
  <c r="AG76" i="6"/>
  <c r="AZ76" i="6"/>
  <c r="AP76" i="6"/>
  <c r="AO76" i="6"/>
  <c r="AQ76" i="6"/>
  <c r="AC76" i="6"/>
  <c r="L77" i="12"/>
  <c r="J77" i="12"/>
  <c r="H77" i="6"/>
  <c r="T77" i="5" s="1"/>
  <c r="AX76" i="6"/>
  <c r="AK76" i="6"/>
  <c r="BB76" i="6"/>
  <c r="AS76" i="6"/>
  <c r="AM76" i="6"/>
  <c r="BD76" i="6"/>
  <c r="BA76" i="6"/>
  <c r="AJ76" i="6"/>
  <c r="A77" i="6"/>
  <c r="M77" i="6" s="1"/>
  <c r="AD76" i="6"/>
  <c r="BF76" i="6"/>
  <c r="E92" i="12"/>
  <c r="F92" i="6"/>
  <c r="AH16" i="13"/>
  <c r="AG16" i="13"/>
  <c r="AF18" i="13"/>
  <c r="AF16" i="13"/>
  <c r="AC18" i="13"/>
  <c r="AG18" i="13"/>
  <c r="AH18" i="13"/>
  <c r="AD18" i="13"/>
  <c r="AG22" i="13"/>
  <c r="AC15" i="13"/>
  <c r="AG15" i="13"/>
  <c r="AH15" i="13"/>
  <c r="AD15" i="13"/>
  <c r="AH20" i="13"/>
  <c r="AG23" i="13"/>
  <c r="AF21" i="13"/>
  <c r="AH23" i="13"/>
  <c r="AC21" i="13"/>
  <c r="AH17" i="13"/>
  <c r="AH19" i="13"/>
  <c r="AD19" i="13"/>
  <c r="AG19" i="13"/>
  <c r="AE15" i="13"/>
  <c r="AC16" i="13"/>
  <c r="AE19" i="13"/>
  <c r="AD16" i="13"/>
  <c r="AF19" i="13"/>
  <c r="K15" i="13"/>
  <c r="AD17" i="13"/>
  <c r="AC22" i="13"/>
  <c r="AC20" i="13"/>
  <c r="AC23" i="13"/>
  <c r="AC17" i="13"/>
  <c r="AH22" i="13"/>
  <c r="AH21" i="13"/>
  <c r="AE20" i="13"/>
  <c r="AD23" i="13"/>
  <c r="AE17" i="13"/>
  <c r="AD22" i="13"/>
  <c r="AE21" i="13"/>
  <c r="AF20" i="13"/>
  <c r="AF23" i="13"/>
  <c r="AF17" i="13"/>
  <c r="AE22" i="13"/>
  <c r="AG21" i="13"/>
  <c r="AG20" i="13"/>
  <c r="AC12" i="13"/>
  <c r="AH12" i="13"/>
  <c r="AG12" i="13"/>
  <c r="AE12" i="13"/>
  <c r="AF12" i="13"/>
  <c r="B17" i="12"/>
  <c r="B79" i="5" l="1"/>
  <c r="J78" i="12"/>
  <c r="L78" i="12"/>
  <c r="K78" i="12" s="1"/>
  <c r="D78" i="6"/>
  <c r="A78" i="6" s="1"/>
  <c r="G79" i="5"/>
  <c r="C80" i="5"/>
  <c r="A79" i="12"/>
  <c r="D79" i="5"/>
  <c r="B79" i="12" s="1"/>
  <c r="B79" i="6"/>
  <c r="AE79" i="5"/>
  <c r="N79" i="5"/>
  <c r="D79" i="6" s="1"/>
  <c r="H79" i="6" s="1"/>
  <c r="T79" i="5" s="1"/>
  <c r="AD79" i="5"/>
  <c r="K79" i="5"/>
  <c r="J79" i="5"/>
  <c r="E79" i="5"/>
  <c r="F79" i="5"/>
  <c r="AJ77" i="6"/>
  <c r="K77" i="12"/>
  <c r="BC77" i="6"/>
  <c r="AS77" i="6"/>
  <c r="AM77" i="6"/>
  <c r="BD77" i="6"/>
  <c r="AV77" i="6"/>
  <c r="AH77" i="6"/>
  <c r="BB77" i="6"/>
  <c r="AR77" i="6"/>
  <c r="AD77" i="6"/>
  <c r="AN77" i="6"/>
  <c r="BA77" i="6"/>
  <c r="AF77" i="6"/>
  <c r="AI77" i="6"/>
  <c r="AC77" i="6"/>
  <c r="AT77" i="6"/>
  <c r="AQ77" i="6"/>
  <c r="AX77" i="6"/>
  <c r="AK77" i="6"/>
  <c r="BE77" i="6"/>
  <c r="AO77" i="6"/>
  <c r="BF77" i="6"/>
  <c r="AG77" i="6"/>
  <c r="AP77" i="6"/>
  <c r="AZ77" i="6"/>
  <c r="AB77" i="6"/>
  <c r="AE77" i="6"/>
  <c r="AU77" i="6"/>
  <c r="AY77" i="6"/>
  <c r="BG77" i="6"/>
  <c r="M12" i="6"/>
  <c r="A79" i="6" l="1"/>
  <c r="N79" i="6" s="1"/>
  <c r="L79" i="12"/>
  <c r="J79" i="12"/>
  <c r="J80" i="5"/>
  <c r="A80" i="12"/>
  <c r="H80" i="5"/>
  <c r="G80" i="5"/>
  <c r="F80" i="5"/>
  <c r="E80" i="5"/>
  <c r="D80" i="5"/>
  <c r="B80" i="12" s="1"/>
  <c r="AE80" i="5"/>
  <c r="N80" i="5"/>
  <c r="D80" i="6" s="1"/>
  <c r="H80" i="6" s="1"/>
  <c r="T80" i="5" s="1"/>
  <c r="B80" i="6"/>
  <c r="AD80" i="5"/>
  <c r="K80" i="5"/>
  <c r="N78" i="6"/>
  <c r="M78" i="6"/>
  <c r="AO78" i="6" s="1"/>
  <c r="H78" i="6"/>
  <c r="T78" i="5" s="1"/>
  <c r="B80" i="5"/>
  <c r="C81" i="5"/>
  <c r="N81" i="5" s="1"/>
  <c r="AH14" i="13"/>
  <c r="AE14" i="13"/>
  <c r="M79" i="6" l="1"/>
  <c r="AT79" i="6" s="1"/>
  <c r="AE81" i="5"/>
  <c r="D81" i="5"/>
  <c r="B81" i="12" s="1"/>
  <c r="B81" i="5"/>
  <c r="C82" i="5" s="1"/>
  <c r="AE82" i="5" s="1"/>
  <c r="E81" i="5"/>
  <c r="A81" i="12"/>
  <c r="J81" i="12" s="1"/>
  <c r="F81" i="5"/>
  <c r="J81" i="5"/>
  <c r="K81" i="5"/>
  <c r="G81" i="5"/>
  <c r="H81" i="5"/>
  <c r="B81" i="6"/>
  <c r="AD81" i="5"/>
  <c r="A80" i="6"/>
  <c r="N80" i="6" s="1"/>
  <c r="BB78" i="6"/>
  <c r="AG78" i="6"/>
  <c r="AY78" i="6"/>
  <c r="AS78" i="6"/>
  <c r="BC78" i="6"/>
  <c r="AD78" i="6"/>
  <c r="AU78" i="6"/>
  <c r="AM78" i="6"/>
  <c r="AQ78" i="6"/>
  <c r="AT78" i="6"/>
  <c r="AC78" i="6"/>
  <c r="AI78" i="6"/>
  <c r="AZ78" i="6"/>
  <c r="BD78" i="6"/>
  <c r="BG78" i="6"/>
  <c r="AV78" i="6"/>
  <c r="AE78" i="6"/>
  <c r="AP78" i="6"/>
  <c r="AF78" i="6"/>
  <c r="AN78" i="6"/>
  <c r="AR78" i="6"/>
  <c r="L80" i="12"/>
  <c r="J80" i="12"/>
  <c r="AJ78" i="6"/>
  <c r="BA78" i="6"/>
  <c r="BE78" i="6"/>
  <c r="AK78" i="6"/>
  <c r="AH78" i="6"/>
  <c r="AX78" i="6"/>
  <c r="AB78" i="6"/>
  <c r="BF78" i="6"/>
  <c r="K79" i="12"/>
  <c r="AZ79" i="6"/>
  <c r="BC79" i="6"/>
  <c r="BF79" i="6"/>
  <c r="AX79" i="6"/>
  <c r="AQ79" i="6"/>
  <c r="AI79" i="6"/>
  <c r="AG79" i="6"/>
  <c r="BE79" i="6"/>
  <c r="AD79" i="6"/>
  <c r="AK79" i="6"/>
  <c r="BA79" i="6"/>
  <c r="AM79" i="6"/>
  <c r="AU79" i="6"/>
  <c r="AP79" i="6"/>
  <c r="AB79" i="6"/>
  <c r="AR79" i="6"/>
  <c r="AC79" i="6"/>
  <c r="AN79" i="6"/>
  <c r="AY79" i="6"/>
  <c r="AJ79" i="6"/>
  <c r="AS79" i="6"/>
  <c r="AH79" i="6"/>
  <c r="BB79" i="6"/>
  <c r="AE79" i="6"/>
  <c r="BG79" i="6"/>
  <c r="AF79" i="6"/>
  <c r="BD79" i="6"/>
  <c r="AO79" i="6"/>
  <c r="D81" i="6"/>
  <c r="E96" i="12"/>
  <c r="F96" i="6"/>
  <c r="L81" i="12" l="1"/>
  <c r="AV79" i="6"/>
  <c r="F82" i="5"/>
  <c r="A82" i="12"/>
  <c r="E82" i="5"/>
  <c r="H82" i="5"/>
  <c r="C83" i="5"/>
  <c r="N83" i="5" s="1"/>
  <c r="D83" i="6" s="1"/>
  <c r="G82" i="5"/>
  <c r="B82" i="5"/>
  <c r="B82" i="6"/>
  <c r="A82" i="6" s="1"/>
  <c r="N82" i="5"/>
  <c r="D82" i="6" s="1"/>
  <c r="BF82" i="6" s="1"/>
  <c r="W82" i="5"/>
  <c r="K80" i="12"/>
  <c r="AD82" i="5"/>
  <c r="A81" i="6"/>
  <c r="N81" i="6" s="1"/>
  <c r="M80" i="6"/>
  <c r="BE80" i="6" s="1"/>
  <c r="K81" i="12"/>
  <c r="H81" i="6"/>
  <c r="T81" i="5" s="1"/>
  <c r="M81" i="6" l="1"/>
  <c r="AU81" i="6" s="1"/>
  <c r="B83" i="5"/>
  <c r="B83" i="6"/>
  <c r="D83" i="5"/>
  <c r="B83" i="12" s="1"/>
  <c r="H83" i="5"/>
  <c r="AD83" i="5"/>
  <c r="E83" i="5"/>
  <c r="K83" i="5"/>
  <c r="A83" i="12"/>
  <c r="L83" i="12" s="1"/>
  <c r="AV82" i="6"/>
  <c r="C84" i="5"/>
  <c r="AE84" i="5" s="1"/>
  <c r="BE82" i="6"/>
  <c r="BA82" i="6"/>
  <c r="AN82" i="6"/>
  <c r="BG82" i="6"/>
  <c r="AR82" i="6"/>
  <c r="BD82" i="6"/>
  <c r="AT82" i="6"/>
  <c r="G82" i="6"/>
  <c r="AZ82" i="6"/>
  <c r="AO82" i="6"/>
  <c r="G83" i="5"/>
  <c r="F83" i="5"/>
  <c r="AU82" i="6"/>
  <c r="H82" i="6"/>
  <c r="T82" i="5" s="1"/>
  <c r="M82" i="6"/>
  <c r="N82" i="6"/>
  <c r="AP82" i="6"/>
  <c r="AE83" i="5"/>
  <c r="AS82" i="6"/>
  <c r="AQ82" i="6"/>
  <c r="AM82" i="6"/>
  <c r="BC82" i="6"/>
  <c r="AY82" i="6"/>
  <c r="AX82" i="6"/>
  <c r="J83" i="5"/>
  <c r="BB82" i="6"/>
  <c r="AI80" i="6"/>
  <c r="AX80" i="6"/>
  <c r="BB80" i="6"/>
  <c r="BF80" i="6"/>
  <c r="AD80" i="6"/>
  <c r="AH80" i="6"/>
  <c r="AU80" i="6"/>
  <c r="AJ80" i="6"/>
  <c r="AC80" i="6"/>
  <c r="AG80" i="6"/>
  <c r="AP80" i="6"/>
  <c r="BG80" i="6"/>
  <c r="AQ80" i="6"/>
  <c r="BC80" i="6"/>
  <c r="AM80" i="6"/>
  <c r="BD80" i="6"/>
  <c r="AZ80" i="6"/>
  <c r="AN80" i="6"/>
  <c r="AK80" i="6"/>
  <c r="AO80" i="6"/>
  <c r="AE80" i="6"/>
  <c r="AF80" i="6"/>
  <c r="AY80" i="6"/>
  <c r="BA80" i="6"/>
  <c r="AV80" i="6"/>
  <c r="AR80" i="6"/>
  <c r="AS80" i="6"/>
  <c r="AT80" i="6"/>
  <c r="AB80" i="6"/>
  <c r="AF81" i="6"/>
  <c r="BE81" i="6"/>
  <c r="AN81" i="6"/>
  <c r="AG81" i="6"/>
  <c r="AS81" i="6"/>
  <c r="AV81" i="6"/>
  <c r="BB81" i="6"/>
  <c r="AZ81" i="6"/>
  <c r="AB81" i="6"/>
  <c r="AP81" i="6"/>
  <c r="AI81" i="6"/>
  <c r="AM81" i="6"/>
  <c r="AE81" i="6"/>
  <c r="BA81" i="6"/>
  <c r="AO81" i="6"/>
  <c r="AR81" i="6"/>
  <c r="H83" i="6"/>
  <c r="T83" i="5" s="1"/>
  <c r="A83" i="6"/>
  <c r="M83" i="6" s="1"/>
  <c r="AJ81" i="6"/>
  <c r="AC81" i="6"/>
  <c r="BF81" i="6"/>
  <c r="AX81" i="6"/>
  <c r="BC81" i="6"/>
  <c r="AT81" i="6"/>
  <c r="AK81" i="6"/>
  <c r="AD81" i="6"/>
  <c r="BG81" i="6"/>
  <c r="AY81" i="6"/>
  <c r="AQ81" i="6"/>
  <c r="AH81" i="6"/>
  <c r="BD81" i="6"/>
  <c r="J83" i="12" l="1"/>
  <c r="D84" i="5"/>
  <c r="B84" i="12" s="1"/>
  <c r="H84" i="5"/>
  <c r="J84" i="5"/>
  <c r="E84" i="5"/>
  <c r="B84" i="6"/>
  <c r="F84" i="5"/>
  <c r="N84" i="5"/>
  <c r="D84" i="6" s="1"/>
  <c r="H84" i="6" s="1"/>
  <c r="A84" i="12"/>
  <c r="L84" i="12" s="1"/>
  <c r="B84" i="5"/>
  <c r="K84" i="5"/>
  <c r="AD84" i="5"/>
  <c r="AB82" i="6"/>
  <c r="AI82" i="6"/>
  <c r="AE82" i="6"/>
  <c r="AF82" i="6"/>
  <c r="AG82" i="6"/>
  <c r="AC82" i="6"/>
  <c r="AJ82" i="6"/>
  <c r="AD82" i="6"/>
  <c r="AH82" i="6"/>
  <c r="AK82" i="6"/>
  <c r="G84" i="5"/>
  <c r="K83" i="12"/>
  <c r="AT83" i="6"/>
  <c r="AH83" i="6"/>
  <c r="AK83" i="6"/>
  <c r="AJ83" i="6"/>
  <c r="AF83" i="6"/>
  <c r="AU83" i="6"/>
  <c r="AM83" i="6"/>
  <c r="AD83" i="6"/>
  <c r="AP83" i="6"/>
  <c r="AY83" i="6"/>
  <c r="AV83" i="6"/>
  <c r="BF83" i="6"/>
  <c r="AQ83" i="6"/>
  <c r="AR83" i="6"/>
  <c r="AI83" i="6"/>
  <c r="BG83" i="6"/>
  <c r="AX83" i="6"/>
  <c r="BC83" i="6"/>
  <c r="AS83" i="6"/>
  <c r="BE83" i="6"/>
  <c r="AO83" i="6"/>
  <c r="AE83" i="6"/>
  <c r="BA83" i="6"/>
  <c r="AC83" i="6"/>
  <c r="BD83" i="6"/>
  <c r="AZ83" i="6"/>
  <c r="AB83" i="6"/>
  <c r="AN83" i="6"/>
  <c r="BB83" i="6"/>
  <c r="AG83" i="6"/>
  <c r="N83" i="6"/>
  <c r="A84" i="6" l="1"/>
  <c r="N84" i="6" s="1"/>
  <c r="J84" i="12"/>
  <c r="K84" i="12" s="1"/>
  <c r="T84" i="5"/>
  <c r="M84" i="6" l="1"/>
  <c r="AI84" i="6" s="1"/>
  <c r="AC84" i="6" l="1"/>
  <c r="AN84" i="6"/>
  <c r="BB84" i="6"/>
  <c r="BF84" i="6"/>
  <c r="AZ84" i="6"/>
  <c r="AP84" i="6"/>
  <c r="AY84" i="6"/>
  <c r="AD84" i="6"/>
  <c r="AT84" i="6"/>
  <c r="AH84" i="6"/>
  <c r="BC84" i="6"/>
  <c r="AS84" i="6"/>
  <c r="AG84" i="6"/>
  <c r="AR84" i="6"/>
  <c r="AV84" i="6"/>
  <c r="AQ84" i="6"/>
  <c r="AK84" i="6"/>
  <c r="BG84" i="6"/>
  <c r="BD84" i="6"/>
  <c r="AX84" i="6"/>
  <c r="BA84" i="6"/>
  <c r="AJ84" i="6"/>
  <c r="AE84" i="6"/>
  <c r="AM84" i="6"/>
  <c r="AB84" i="6"/>
  <c r="AU84" i="6"/>
  <c r="BE84" i="6"/>
  <c r="AO84" i="6"/>
  <c r="AF84" i="6"/>
  <c r="C85" i="5"/>
  <c r="K73" i="5"/>
  <c r="K64" i="5"/>
  <c r="K60" i="5"/>
  <c r="F17" i="12"/>
  <c r="F40" i="12"/>
  <c r="F27" i="12"/>
  <c r="F32" i="12"/>
  <c r="F46" i="12"/>
  <c r="F47" i="12"/>
  <c r="F14" i="12"/>
  <c r="F54" i="12"/>
  <c r="F34" i="12"/>
  <c r="F49" i="12"/>
  <c r="F31" i="12"/>
  <c r="F18" i="12"/>
  <c r="F26" i="12"/>
  <c r="F39" i="12"/>
  <c r="N85" i="5" l="1"/>
  <c r="D85" i="6" s="1"/>
  <c r="D85" i="5"/>
  <c r="B85" i="12" s="1"/>
  <c r="E85" i="5"/>
  <c r="B85" i="5"/>
  <c r="C86" i="5"/>
  <c r="A85" i="12"/>
  <c r="F85" i="5"/>
  <c r="AD85" i="5"/>
  <c r="B85" i="6"/>
  <c r="K85" i="5"/>
  <c r="J85" i="5"/>
  <c r="H85" i="5"/>
  <c r="G85" i="5"/>
  <c r="AE85" i="5"/>
  <c r="E104" i="12"/>
  <c r="F104" i="6"/>
  <c r="AE86" i="5" l="1"/>
  <c r="D86" i="5"/>
  <c r="B86" i="12" s="1"/>
  <c r="E86" i="5"/>
  <c r="AD86" i="5"/>
  <c r="K86" i="5"/>
  <c r="B86" i="6"/>
  <c r="B86" i="5"/>
  <c r="F86" i="5"/>
  <c r="H86" i="5"/>
  <c r="J86" i="5"/>
  <c r="A86" i="12"/>
  <c r="G86" i="5"/>
  <c r="N86" i="5"/>
  <c r="D86" i="6" s="1"/>
  <c r="H85" i="6"/>
  <c r="T85" i="5" s="1"/>
  <c r="A85" i="6"/>
  <c r="M85" i="6" s="1"/>
  <c r="BF85" i="6" s="1"/>
  <c r="L85" i="12"/>
  <c r="J85" i="12"/>
  <c r="AF15" i="13"/>
  <c r="E46" i="12"/>
  <c r="F46" i="6"/>
  <c r="N53" i="6" s="1"/>
  <c r="F34" i="6"/>
  <c r="E34" i="12"/>
  <c r="N41" i="6" l="1"/>
  <c r="N42" i="6"/>
  <c r="AR85" i="6"/>
  <c r="AJ85" i="6"/>
  <c r="AY85" i="6"/>
  <c r="L86" i="12"/>
  <c r="J86" i="12"/>
  <c r="AE85" i="6"/>
  <c r="N85" i="6"/>
  <c r="AH85" i="6"/>
  <c r="C87" i="5"/>
  <c r="AN85" i="6"/>
  <c r="AV85" i="6"/>
  <c r="BC85" i="6"/>
  <c r="AZ85" i="6"/>
  <c r="BE85" i="6"/>
  <c r="AP85" i="6"/>
  <c r="K85" i="12"/>
  <c r="AG85" i="6"/>
  <c r="AQ85" i="6"/>
  <c r="BB85" i="6"/>
  <c r="AS85" i="6"/>
  <c r="AX85" i="6"/>
  <c r="AU85" i="6"/>
  <c r="BA85" i="6"/>
  <c r="A86" i="6"/>
  <c r="N86" i="6" s="1"/>
  <c r="AD85" i="6"/>
  <c r="AO85" i="6"/>
  <c r="AT85" i="6"/>
  <c r="BG85" i="6"/>
  <c r="BD85" i="6"/>
  <c r="AF85" i="6"/>
  <c r="AI85" i="6"/>
  <c r="AB85" i="6"/>
  <c r="AK85" i="6"/>
  <c r="H86" i="6"/>
  <c r="AC85" i="6"/>
  <c r="AM85" i="6"/>
  <c r="N37" i="6"/>
  <c r="N43" i="6"/>
  <c r="N44" i="6"/>
  <c r="N45" i="6"/>
  <c r="N55" i="6"/>
  <c r="N56" i="6"/>
  <c r="N57" i="6"/>
  <c r="N60" i="6"/>
  <c r="N61" i="6"/>
  <c r="N64" i="6"/>
  <c r="N63" i="6"/>
  <c r="N65" i="6"/>
  <c r="N66" i="6"/>
  <c r="N67" i="6"/>
  <c r="N70" i="6"/>
  <c r="N71" i="6"/>
  <c r="N72" i="6"/>
  <c r="N73" i="6"/>
  <c r="N74" i="6"/>
  <c r="N75" i="6"/>
  <c r="N76" i="6"/>
  <c r="N77" i="6"/>
  <c r="N36" i="6"/>
  <c r="N35" i="6"/>
  <c r="N50" i="6"/>
  <c r="N51" i="6"/>
  <c r="N52" i="6"/>
  <c r="N48" i="6"/>
  <c r="N38" i="6"/>
  <c r="N39" i="6"/>
  <c r="N40" i="6"/>
  <c r="N46" i="6"/>
  <c r="N47" i="6"/>
  <c r="N49" i="6"/>
  <c r="M86" i="6" l="1"/>
  <c r="AQ86" i="6" s="1"/>
  <c r="T86" i="5"/>
  <c r="W87" i="5"/>
  <c r="N87" i="5"/>
  <c r="D87" i="6" s="1"/>
  <c r="H87" i="5"/>
  <c r="C88" i="5"/>
  <c r="A87" i="12"/>
  <c r="E87" i="5"/>
  <c r="K55" i="5" s="1"/>
  <c r="AE87" i="5"/>
  <c r="F87" i="5"/>
  <c r="J73" i="5" s="1"/>
  <c r="D73" i="5" s="1"/>
  <c r="B73" i="12" s="1"/>
  <c r="G87" i="5"/>
  <c r="B87" i="5"/>
  <c r="B87" i="6"/>
  <c r="A87" i="6" s="1"/>
  <c r="AD87" i="5"/>
  <c r="K86" i="12"/>
  <c r="AE18" i="13"/>
  <c r="AC19" i="13"/>
  <c r="AD20" i="13"/>
  <c r="AD12" i="13"/>
  <c r="AD21" i="13"/>
  <c r="AE23" i="13"/>
  <c r="AE16" i="13"/>
  <c r="AG17" i="13"/>
  <c r="H26" i="12"/>
  <c r="H54" i="12"/>
  <c r="H18" i="12"/>
  <c r="BA86" i="6" l="1"/>
  <c r="AG86" i="6"/>
  <c r="AC86" i="6"/>
  <c r="AF86" i="6"/>
  <c r="AK86" i="6"/>
  <c r="AR86" i="6"/>
  <c r="AX86" i="6"/>
  <c r="BG86" i="6"/>
  <c r="AT86" i="6"/>
  <c r="BD86" i="6"/>
  <c r="BB86" i="6"/>
  <c r="AP86" i="6"/>
  <c r="AM86" i="6"/>
  <c r="AI86" i="6"/>
  <c r="BE86" i="6"/>
  <c r="AB86" i="6"/>
  <c r="AN86" i="6"/>
  <c r="AH86" i="6"/>
  <c r="AO86" i="6"/>
  <c r="AZ86" i="6"/>
  <c r="BC86" i="6"/>
  <c r="AJ86" i="6"/>
  <c r="BF86" i="6"/>
  <c r="AV86" i="6"/>
  <c r="AE86" i="6"/>
  <c r="AY86" i="6"/>
  <c r="AU86" i="6"/>
  <c r="AD86" i="6"/>
  <c r="AS86" i="6"/>
  <c r="J82" i="5"/>
  <c r="J56" i="5"/>
  <c r="D56" i="5" s="1"/>
  <c r="B56" i="12" s="1"/>
  <c r="J60" i="5"/>
  <c r="D60" i="5" s="1"/>
  <c r="B60" i="12" s="1"/>
  <c r="J64" i="5"/>
  <c r="D64" i="5" s="1"/>
  <c r="B64" i="12" s="1"/>
  <c r="B88" i="6"/>
  <c r="A88" i="6" s="1"/>
  <c r="AE88" i="5"/>
  <c r="B88" i="5"/>
  <c r="W88" i="5"/>
  <c r="A88" i="12"/>
  <c r="AD88" i="5"/>
  <c r="H88" i="5"/>
  <c r="N88" i="5"/>
  <c r="D88" i="6" s="1"/>
  <c r="E88" i="5"/>
  <c r="G88" i="5"/>
  <c r="C89" i="5"/>
  <c r="C90" i="5" s="1"/>
  <c r="C91" i="5" s="1"/>
  <c r="F88" i="5"/>
  <c r="AQ87" i="6"/>
  <c r="AO87" i="6"/>
  <c r="AS87" i="6"/>
  <c r="BC87" i="6"/>
  <c r="AM87" i="6"/>
  <c r="AZ87" i="6"/>
  <c r="G87" i="6"/>
  <c r="AU87" i="6"/>
  <c r="N87" i="6"/>
  <c r="AT87" i="6"/>
  <c r="AY87" i="6"/>
  <c r="AP87" i="6"/>
  <c r="AR87" i="6"/>
  <c r="BF87" i="6"/>
  <c r="BD87" i="6"/>
  <c r="BE87" i="6"/>
  <c r="BG87" i="6"/>
  <c r="AV87" i="6"/>
  <c r="BB87" i="6"/>
  <c r="BA87" i="6"/>
  <c r="H87" i="6"/>
  <c r="T87" i="5" s="1"/>
  <c r="AN87" i="6"/>
  <c r="AX87" i="6"/>
  <c r="M87" i="6"/>
  <c r="B16" i="11"/>
  <c r="A16" i="13"/>
  <c r="F113" i="6"/>
  <c r="E113" i="12"/>
  <c r="H49" i="12"/>
  <c r="H32" i="12"/>
  <c r="H31" i="12"/>
  <c r="H47" i="12"/>
  <c r="H27" i="12"/>
  <c r="B91" i="6" l="1"/>
  <c r="D91" i="5"/>
  <c r="B91" i="12" s="1"/>
  <c r="AE91" i="5"/>
  <c r="N91" i="5"/>
  <c r="AD91" i="5"/>
  <c r="A91" i="12"/>
  <c r="K91" i="5"/>
  <c r="J91" i="5"/>
  <c r="B90" i="6"/>
  <c r="D90" i="5"/>
  <c r="B90" i="12" s="1"/>
  <c r="AE90" i="5"/>
  <c r="N90" i="5"/>
  <c r="AD90" i="5"/>
  <c r="A90" i="12"/>
  <c r="K90" i="5"/>
  <c r="J90" i="5"/>
  <c r="AJ87" i="6"/>
  <c r="AF87" i="6"/>
  <c r="AY88" i="6"/>
  <c r="AN88" i="6"/>
  <c r="AP88" i="6"/>
  <c r="BG88" i="6"/>
  <c r="H88" i="6"/>
  <c r="T88" i="5" s="1"/>
  <c r="BE88" i="6"/>
  <c r="AR88" i="6"/>
  <c r="AQ88" i="6"/>
  <c r="BF88" i="6"/>
  <c r="BA88" i="6"/>
  <c r="BD88" i="6"/>
  <c r="AU88" i="6"/>
  <c r="N88" i="6"/>
  <c r="AO88" i="6"/>
  <c r="AM88" i="6"/>
  <c r="AX88" i="6"/>
  <c r="AS88" i="6"/>
  <c r="BB88" i="6"/>
  <c r="AT88" i="6"/>
  <c r="M88" i="6"/>
  <c r="AV88" i="6"/>
  <c r="G88" i="6"/>
  <c r="BC88" i="6"/>
  <c r="AZ88" i="6"/>
  <c r="AI87" i="6"/>
  <c r="AG87" i="6"/>
  <c r="AK87" i="6"/>
  <c r="AE87" i="6"/>
  <c r="AC87" i="6"/>
  <c r="G16" i="11"/>
  <c r="F16" i="13" s="1"/>
  <c r="K16" i="11"/>
  <c r="J16" i="13" s="1"/>
  <c r="C16" i="13"/>
  <c r="K16" i="13" s="1"/>
  <c r="AH87" i="6"/>
  <c r="AD87" i="6"/>
  <c r="AB87" i="6"/>
  <c r="B89" i="5"/>
  <c r="B90" i="5" s="1"/>
  <c r="B91" i="5" s="1"/>
  <c r="N89" i="5"/>
  <c r="D89" i="6" s="1"/>
  <c r="F89" i="5"/>
  <c r="F90" i="5" s="1"/>
  <c r="F91" i="5" s="1"/>
  <c r="AE89" i="5"/>
  <c r="K89" i="5"/>
  <c r="D89" i="5"/>
  <c r="B89" i="12" s="1"/>
  <c r="B89" i="6"/>
  <c r="H89" i="5"/>
  <c r="H90" i="5" s="1"/>
  <c r="H91" i="5" s="1"/>
  <c r="G89" i="5"/>
  <c r="G90" i="5" s="1"/>
  <c r="G91" i="5" s="1"/>
  <c r="J89" i="5"/>
  <c r="E89" i="5"/>
  <c r="E90" i="5" s="1"/>
  <c r="E91" i="5" s="1"/>
  <c r="A89" i="12"/>
  <c r="AD89" i="5"/>
  <c r="J91" i="12" l="1"/>
  <c r="L91" i="12"/>
  <c r="D91" i="6"/>
  <c r="J90" i="12"/>
  <c r="L90" i="12"/>
  <c r="D90" i="6"/>
  <c r="C92" i="5"/>
  <c r="B92" i="6" s="1"/>
  <c r="A92" i="6" s="1"/>
  <c r="AJ88" i="6"/>
  <c r="AD88" i="6"/>
  <c r="AF88" i="6"/>
  <c r="AB88" i="6"/>
  <c r="AC88" i="6"/>
  <c r="A89" i="6"/>
  <c r="N89" i="6" s="1"/>
  <c r="L89" i="12"/>
  <c r="J89" i="12"/>
  <c r="AE88" i="6"/>
  <c r="AI88" i="6"/>
  <c r="AK88" i="6"/>
  <c r="AH88" i="6"/>
  <c r="H89" i="6"/>
  <c r="AG88" i="6"/>
  <c r="H39" i="12"/>
  <c r="K90" i="12" l="1"/>
  <c r="K91" i="12"/>
  <c r="H91" i="6"/>
  <c r="T91" i="5" s="1"/>
  <c r="A90" i="6"/>
  <c r="A91" i="6" s="1"/>
  <c r="N91" i="6" s="1"/>
  <c r="AE92" i="5"/>
  <c r="G92" i="5"/>
  <c r="N92" i="5"/>
  <c r="D92" i="6" s="1"/>
  <c r="AX92" i="6" s="1"/>
  <c r="W92" i="5"/>
  <c r="C93" i="5"/>
  <c r="AD92" i="5"/>
  <c r="B92" i="5"/>
  <c r="H90" i="6"/>
  <c r="T90" i="5" s="1"/>
  <c r="F92" i="5"/>
  <c r="K88" i="5" s="1"/>
  <c r="E92" i="5"/>
  <c r="H92" i="5"/>
  <c r="A92" i="12"/>
  <c r="K89" i="12"/>
  <c r="M89" i="6"/>
  <c r="AO89" i="6" s="1"/>
  <c r="T89" i="5"/>
  <c r="H40" i="12"/>
  <c r="D93" i="5" l="1"/>
  <c r="B93" i="12" s="1"/>
  <c r="N90" i="6"/>
  <c r="M91" i="6"/>
  <c r="AD91" i="6" s="1"/>
  <c r="B93" i="5"/>
  <c r="AO92" i="6"/>
  <c r="AV92" i="6"/>
  <c r="AY92" i="6"/>
  <c r="H93" i="5"/>
  <c r="J93" i="5"/>
  <c r="G93" i="5"/>
  <c r="G92" i="6"/>
  <c r="AD93" i="5"/>
  <c r="K93" i="5"/>
  <c r="H92" i="6"/>
  <c r="T92" i="5" s="1"/>
  <c r="AZ92" i="6"/>
  <c r="BE92" i="6"/>
  <c r="M92" i="6"/>
  <c r="AN92" i="6"/>
  <c r="AP92" i="6"/>
  <c r="AQ92" i="6"/>
  <c r="BD92" i="6"/>
  <c r="BB92" i="6"/>
  <c r="BG92" i="6"/>
  <c r="AM92" i="6"/>
  <c r="N92" i="6"/>
  <c r="BA92" i="6"/>
  <c r="BF92" i="6"/>
  <c r="AU92" i="6"/>
  <c r="AS92" i="6"/>
  <c r="A93" i="12"/>
  <c r="J93" i="12" s="1"/>
  <c r="B93" i="6"/>
  <c r="F93" i="5"/>
  <c r="BC92" i="6"/>
  <c r="AT92" i="6"/>
  <c r="AE93" i="5"/>
  <c r="AR92" i="6"/>
  <c r="E93" i="5"/>
  <c r="N93" i="5"/>
  <c r="D93" i="6" s="1"/>
  <c r="M90" i="6"/>
  <c r="AD90" i="6" s="1"/>
  <c r="AF89" i="6"/>
  <c r="AJ89" i="6"/>
  <c r="AE89" i="6"/>
  <c r="AI89" i="6"/>
  <c r="AS89" i="6"/>
  <c r="AQ89" i="6"/>
  <c r="BC89" i="6"/>
  <c r="AT89" i="6"/>
  <c r="AN89" i="6"/>
  <c r="AR89" i="6"/>
  <c r="AV89" i="6"/>
  <c r="AB89" i="6"/>
  <c r="BA89" i="6"/>
  <c r="AH89" i="6"/>
  <c r="BE89" i="6"/>
  <c r="AC89" i="6"/>
  <c r="AZ89" i="6"/>
  <c r="AP89" i="6"/>
  <c r="AX89" i="6"/>
  <c r="AY89" i="6"/>
  <c r="BD89" i="6"/>
  <c r="AK89" i="6"/>
  <c r="BB89" i="6"/>
  <c r="BG89" i="6"/>
  <c r="AD89" i="6"/>
  <c r="AU89" i="6"/>
  <c r="BF89" i="6"/>
  <c r="AG89" i="6"/>
  <c r="AM89" i="6"/>
  <c r="AG14" i="13"/>
  <c r="AD14" i="13"/>
  <c r="C94" i="5" l="1"/>
  <c r="AE91" i="6"/>
  <c r="AF91" i="6"/>
  <c r="AH91" i="6"/>
  <c r="AG91" i="6"/>
  <c r="AI91" i="6"/>
  <c r="AJ91" i="6"/>
  <c r="BE91" i="6"/>
  <c r="BA91" i="6"/>
  <c r="AR91" i="6"/>
  <c r="AN91" i="6"/>
  <c r="AY91" i="6"/>
  <c r="BD91" i="6"/>
  <c r="AZ91" i="6"/>
  <c r="AV91" i="6"/>
  <c r="BG91" i="6"/>
  <c r="AQ91" i="6"/>
  <c r="AM91" i="6"/>
  <c r="BF91" i="6"/>
  <c r="AU91" i="6"/>
  <c r="AT91" i="6"/>
  <c r="AX91" i="6"/>
  <c r="BC91" i="6"/>
  <c r="AS91" i="6"/>
  <c r="AP91" i="6"/>
  <c r="BB91" i="6"/>
  <c r="AO91" i="6"/>
  <c r="AK91" i="6"/>
  <c r="AC91" i="6"/>
  <c r="AB91" i="6"/>
  <c r="AE92" i="6"/>
  <c r="AI92" i="6"/>
  <c r="L93" i="12"/>
  <c r="K93" i="12" s="1"/>
  <c r="A93" i="6"/>
  <c r="M93" i="6" s="1"/>
  <c r="BG93" i="6" s="1"/>
  <c r="AH92" i="6"/>
  <c r="AG92" i="6"/>
  <c r="AF92" i="6"/>
  <c r="AC92" i="6"/>
  <c r="AK92" i="6"/>
  <c r="AJ92" i="6"/>
  <c r="AD92" i="6"/>
  <c r="AB92" i="6"/>
  <c r="H93" i="6"/>
  <c r="T93" i="5" s="1"/>
  <c r="AT90" i="6"/>
  <c r="BC90" i="6"/>
  <c r="AY90" i="6"/>
  <c r="BF90" i="6"/>
  <c r="AP90" i="6"/>
  <c r="AK90" i="6"/>
  <c r="AS90" i="6"/>
  <c r="BB90" i="6"/>
  <c r="AX90" i="6"/>
  <c r="AF90" i="6"/>
  <c r="AJ90" i="6"/>
  <c r="AO90" i="6"/>
  <c r="AB90" i="6"/>
  <c r="AU90" i="6"/>
  <c r="BE90" i="6"/>
  <c r="BA90" i="6"/>
  <c r="AV90" i="6"/>
  <c r="AR90" i="6"/>
  <c r="AN90" i="6"/>
  <c r="AI90" i="6"/>
  <c r="AE90" i="6"/>
  <c r="BD90" i="6"/>
  <c r="AZ90" i="6"/>
  <c r="AH90" i="6"/>
  <c r="AQ90" i="6"/>
  <c r="AM90" i="6"/>
  <c r="BG90" i="6"/>
  <c r="AG90" i="6"/>
  <c r="AC90" i="6"/>
  <c r="AC14" i="13"/>
  <c r="AF14" i="13"/>
  <c r="N93" i="6" l="1"/>
  <c r="J94" i="5"/>
  <c r="H94" i="5"/>
  <c r="G94" i="5"/>
  <c r="K94" i="5"/>
  <c r="F94" i="5"/>
  <c r="E94" i="5"/>
  <c r="D94" i="5"/>
  <c r="B94" i="12" s="1"/>
  <c r="B94" i="5"/>
  <c r="A94" i="12"/>
  <c r="AE94" i="5"/>
  <c r="N94" i="5"/>
  <c r="B94" i="6"/>
  <c r="AD94" i="5"/>
  <c r="C95" i="5"/>
  <c r="BD93" i="6"/>
  <c r="AM93" i="6"/>
  <c r="AU93" i="6"/>
  <c r="BA93" i="6"/>
  <c r="AR93" i="6"/>
  <c r="AO93" i="6"/>
  <c r="AN93" i="6"/>
  <c r="AP93" i="6"/>
  <c r="BC93" i="6"/>
  <c r="BF93" i="6"/>
  <c r="BB93" i="6"/>
  <c r="AS93" i="6"/>
  <c r="AV93" i="6"/>
  <c r="AZ93" i="6"/>
  <c r="AY93" i="6"/>
  <c r="AQ93" i="6"/>
  <c r="AT93" i="6"/>
  <c r="AF93" i="6"/>
  <c r="AX93" i="6"/>
  <c r="BE93" i="6"/>
  <c r="AE93" i="6"/>
  <c r="AD93" i="6"/>
  <c r="AH93" i="6"/>
  <c r="AC93" i="6"/>
  <c r="AI93" i="6"/>
  <c r="AG93" i="6"/>
  <c r="AK93" i="6"/>
  <c r="AJ93" i="6"/>
  <c r="AB93" i="6"/>
  <c r="K16" i="5"/>
  <c r="B9" i="9"/>
  <c r="J94" i="12" l="1"/>
  <c r="L94" i="12"/>
  <c r="K94" i="12" s="1"/>
  <c r="D95" i="5"/>
  <c r="B95" i="12" s="1"/>
  <c r="K95" i="5"/>
  <c r="AE95" i="5"/>
  <c r="B95" i="6"/>
  <c r="A95" i="12"/>
  <c r="B95" i="5"/>
  <c r="C96" i="5" s="1"/>
  <c r="N95" i="5"/>
  <c r="D95" i="6" s="1"/>
  <c r="F95" i="5"/>
  <c r="H95" i="5"/>
  <c r="AD95" i="5"/>
  <c r="E95" i="5"/>
  <c r="J95" i="5"/>
  <c r="G95" i="5"/>
  <c r="D94" i="6"/>
  <c r="A94" i="6" s="1"/>
  <c r="G46" i="6"/>
  <c r="G34" i="6"/>
  <c r="A95" i="6" l="1"/>
  <c r="N95" i="6" s="1"/>
  <c r="N94" i="6"/>
  <c r="M94" i="6"/>
  <c r="BA94" i="6" s="1"/>
  <c r="H94" i="6"/>
  <c r="T94" i="5" s="1"/>
  <c r="H95" i="6"/>
  <c r="M95" i="6"/>
  <c r="AY95" i="6" s="1"/>
  <c r="AE96" i="5"/>
  <c r="B96" i="6"/>
  <c r="A96" i="6" s="1"/>
  <c r="AD96" i="5"/>
  <c r="E96" i="5"/>
  <c r="H96" i="5"/>
  <c r="N96" i="5"/>
  <c r="D96" i="6" s="1"/>
  <c r="C97" i="5"/>
  <c r="B96" i="5"/>
  <c r="W96" i="5"/>
  <c r="G96" i="5"/>
  <c r="F96" i="5"/>
  <c r="K92" i="5" s="1"/>
  <c r="A96" i="12"/>
  <c r="J95" i="12"/>
  <c r="L95" i="12"/>
  <c r="I21" i="5"/>
  <c r="G97" i="5" l="1"/>
  <c r="AB95" i="6"/>
  <c r="T95" i="5"/>
  <c r="AJ95" i="6"/>
  <c r="AC95" i="6"/>
  <c r="AK95" i="6"/>
  <c r="AI95" i="6"/>
  <c r="AF95" i="6"/>
  <c r="AH95" i="6"/>
  <c r="AE95" i="6"/>
  <c r="AD95" i="6"/>
  <c r="AS94" i="6"/>
  <c r="AJ94" i="6"/>
  <c r="AB94" i="6"/>
  <c r="BF94" i="6"/>
  <c r="AX94" i="6"/>
  <c r="AO94" i="6"/>
  <c r="AG94" i="6"/>
  <c r="BB94" i="6"/>
  <c r="AT94" i="6"/>
  <c r="AK94" i="6"/>
  <c r="AC94" i="6"/>
  <c r="BG94" i="6"/>
  <c r="AY94" i="6"/>
  <c r="AP94" i="6"/>
  <c r="AQ94" i="6"/>
  <c r="AD94" i="6"/>
  <c r="BC94" i="6"/>
  <c r="AH94" i="6"/>
  <c r="AU94" i="6"/>
  <c r="AM94" i="6"/>
  <c r="K95" i="12"/>
  <c r="AE94" i="6"/>
  <c r="AI94" i="6"/>
  <c r="AZ94" i="6"/>
  <c r="AD97" i="5"/>
  <c r="B97" i="6"/>
  <c r="D97" i="5"/>
  <c r="B97" i="12" s="1"/>
  <c r="H97" i="5"/>
  <c r="B97" i="5"/>
  <c r="E97" i="5"/>
  <c r="J97" i="5"/>
  <c r="A97" i="12"/>
  <c r="K97" i="5"/>
  <c r="AE97" i="5"/>
  <c r="C98" i="5"/>
  <c r="F97" i="5"/>
  <c r="N97" i="5"/>
  <c r="D97" i="6" s="1"/>
  <c r="AR94" i="6"/>
  <c r="AV94" i="6"/>
  <c r="BF96" i="6"/>
  <c r="AZ96" i="6"/>
  <c r="BG96" i="6"/>
  <c r="BC96" i="6"/>
  <c r="M96" i="6"/>
  <c r="N96" i="6"/>
  <c r="AT96" i="6"/>
  <c r="AY96" i="6"/>
  <c r="BA96" i="6"/>
  <c r="AM96" i="6"/>
  <c r="H96" i="6"/>
  <c r="AV96" i="6"/>
  <c r="AQ96" i="6"/>
  <c r="AX96" i="6"/>
  <c r="G96" i="6"/>
  <c r="AU96" i="6"/>
  <c r="BE96" i="6"/>
  <c r="BB96" i="6"/>
  <c r="AN96" i="6"/>
  <c r="AO96" i="6"/>
  <c r="BD96" i="6"/>
  <c r="AR96" i="6"/>
  <c r="AP96" i="6"/>
  <c r="AS96" i="6"/>
  <c r="BE94" i="6"/>
  <c r="BD94" i="6"/>
  <c r="AN94" i="6"/>
  <c r="AG95" i="6"/>
  <c r="BD95" i="6"/>
  <c r="AT95" i="6"/>
  <c r="AV95" i="6"/>
  <c r="AN95" i="6"/>
  <c r="BF95" i="6"/>
  <c r="AP95" i="6"/>
  <c r="BA95" i="6"/>
  <c r="BB95" i="6"/>
  <c r="AS95" i="6"/>
  <c r="AX95" i="6"/>
  <c r="AM95" i="6"/>
  <c r="BC95" i="6"/>
  <c r="AU95" i="6"/>
  <c r="AZ95" i="6"/>
  <c r="AO95" i="6"/>
  <c r="AQ95" i="6"/>
  <c r="BE95" i="6"/>
  <c r="AR95" i="6"/>
  <c r="BG95" i="6"/>
  <c r="AF94" i="6"/>
  <c r="A97" i="6" l="1"/>
  <c r="N97" i="6" s="1"/>
  <c r="H98" i="5"/>
  <c r="C99" i="5"/>
  <c r="G98" i="5"/>
  <c r="AE98" i="5"/>
  <c r="B98" i="6"/>
  <c r="N98" i="5"/>
  <c r="D98" i="6" s="1"/>
  <c r="A98" i="12"/>
  <c r="AD98" i="5"/>
  <c r="B98" i="5"/>
  <c r="J98" i="5"/>
  <c r="F98" i="5"/>
  <c r="E98" i="5"/>
  <c r="D98" i="5"/>
  <c r="B98" i="12" s="1"/>
  <c r="K98" i="5"/>
  <c r="H97" i="6"/>
  <c r="T97" i="5" s="1"/>
  <c r="J97" i="12"/>
  <c r="L97" i="12"/>
  <c r="T96" i="5"/>
  <c r="AE96" i="6"/>
  <c r="AJ96" i="6"/>
  <c r="AF96" i="6"/>
  <c r="AI96" i="6"/>
  <c r="AG96" i="6"/>
  <c r="AD96" i="6"/>
  <c r="AC96" i="6"/>
  <c r="AH96" i="6"/>
  <c r="AK96" i="6"/>
  <c r="AB96" i="6"/>
  <c r="K97" i="12" l="1"/>
  <c r="C100" i="5"/>
  <c r="A99" i="12"/>
  <c r="N99" i="5"/>
  <c r="D99" i="6" s="1"/>
  <c r="B99" i="6"/>
  <c r="F99" i="5"/>
  <c r="F100" i="5" s="1"/>
  <c r="D99" i="5"/>
  <c r="B99" i="12" s="1"/>
  <c r="J99" i="5"/>
  <c r="G99" i="5"/>
  <c r="B99" i="5"/>
  <c r="H99" i="5"/>
  <c r="AE99" i="5"/>
  <c r="K99" i="5"/>
  <c r="E99" i="5"/>
  <c r="AD99" i="5"/>
  <c r="J98" i="12"/>
  <c r="L98" i="12"/>
  <c r="H98" i="6"/>
  <c r="A98" i="6"/>
  <c r="N98" i="6" s="1"/>
  <c r="M97" i="6"/>
  <c r="AF97" i="6" s="1"/>
  <c r="J49" i="12"/>
  <c r="K98" i="12" l="1"/>
  <c r="E100" i="5"/>
  <c r="H100" i="5"/>
  <c r="AB97" i="6"/>
  <c r="AR97" i="6"/>
  <c r="AV97" i="6"/>
  <c r="AY97" i="6"/>
  <c r="BB97" i="6"/>
  <c r="BE97" i="6"/>
  <c r="AP97" i="6"/>
  <c r="AT97" i="6"/>
  <c r="BA97" i="6"/>
  <c r="BF97" i="6"/>
  <c r="AO97" i="6"/>
  <c r="AS97" i="6"/>
  <c r="AM97" i="6"/>
  <c r="AX97" i="6"/>
  <c r="AU97" i="6"/>
  <c r="BG97" i="6"/>
  <c r="AQ97" i="6"/>
  <c r="AZ97" i="6"/>
  <c r="BC97" i="6"/>
  <c r="AG97" i="6"/>
  <c r="BD97" i="6"/>
  <c r="AN97" i="6"/>
  <c r="AK97" i="6"/>
  <c r="AJ97" i="6"/>
  <c r="AC97" i="6"/>
  <c r="AE97" i="6"/>
  <c r="AI97" i="6"/>
  <c r="A99" i="6"/>
  <c r="N99" i="6" s="1"/>
  <c r="M98" i="6"/>
  <c r="AI98" i="6" s="1"/>
  <c r="H99" i="6"/>
  <c r="AD97" i="6"/>
  <c r="T98" i="5"/>
  <c r="L99" i="12"/>
  <c r="J99" i="12"/>
  <c r="AE100" i="5"/>
  <c r="B100" i="6"/>
  <c r="D100" i="5"/>
  <c r="B100" i="12" s="1"/>
  <c r="C101" i="5"/>
  <c r="G100" i="5"/>
  <c r="J100" i="5"/>
  <c r="AD100" i="5"/>
  <c r="B100" i="5"/>
  <c r="K100" i="5"/>
  <c r="A100" i="12"/>
  <c r="N100" i="5"/>
  <c r="D100" i="6" s="1"/>
  <c r="H100" i="6" s="1"/>
  <c r="T100" i="5" s="1"/>
  <c r="AH97" i="6"/>
  <c r="AF22" i="13"/>
  <c r="L49" i="12"/>
  <c r="K49" i="12" s="1"/>
  <c r="K99" i="12" l="1"/>
  <c r="M99" i="6"/>
  <c r="AT99" i="6" s="1"/>
  <c r="A100" i="6"/>
  <c r="M100" i="6" s="1"/>
  <c r="BE100" i="6" s="1"/>
  <c r="AG98" i="6"/>
  <c r="L100" i="12"/>
  <c r="J100" i="12"/>
  <c r="T99" i="5"/>
  <c r="AK98" i="6"/>
  <c r="AU98" i="6"/>
  <c r="AZ98" i="6"/>
  <c r="BF98" i="6"/>
  <c r="AP98" i="6"/>
  <c r="BA98" i="6"/>
  <c r="BD98" i="6"/>
  <c r="AX98" i="6"/>
  <c r="BC98" i="6"/>
  <c r="BG98" i="6"/>
  <c r="AV98" i="6"/>
  <c r="BE98" i="6"/>
  <c r="AN98" i="6"/>
  <c r="AM98" i="6"/>
  <c r="AQ98" i="6"/>
  <c r="AR98" i="6"/>
  <c r="AO98" i="6"/>
  <c r="AS98" i="6"/>
  <c r="AT98" i="6"/>
  <c r="BB98" i="6"/>
  <c r="AY98" i="6"/>
  <c r="N100" i="6"/>
  <c r="AE98" i="6"/>
  <c r="AH98" i="6"/>
  <c r="AB98" i="6"/>
  <c r="AJ98" i="6"/>
  <c r="E101" i="5"/>
  <c r="F101" i="5"/>
  <c r="B101" i="5"/>
  <c r="J101" i="5"/>
  <c r="C102" i="5"/>
  <c r="H101" i="5"/>
  <c r="B101" i="6"/>
  <c r="N101" i="5"/>
  <c r="D101" i="6" s="1"/>
  <c r="H101" i="6" s="1"/>
  <c r="T101" i="5" s="1"/>
  <c r="K101" i="5"/>
  <c r="AD101" i="5"/>
  <c r="A101" i="12"/>
  <c r="D101" i="5"/>
  <c r="B101" i="12" s="1"/>
  <c r="G101" i="5"/>
  <c r="AE101" i="5"/>
  <c r="AF98" i="6"/>
  <c r="AC98" i="6"/>
  <c r="AD98" i="6"/>
  <c r="AS99" i="6" l="1"/>
  <c r="AK99" i="6"/>
  <c r="AX99" i="6"/>
  <c r="AE99" i="6"/>
  <c r="AD100" i="6"/>
  <c r="AP100" i="6"/>
  <c r="AK100" i="6"/>
  <c r="AO99" i="6"/>
  <c r="AN100" i="6"/>
  <c r="AZ99" i="6"/>
  <c r="BG99" i="6"/>
  <c r="AB99" i="6"/>
  <c r="AO100" i="6"/>
  <c r="AT100" i="6"/>
  <c r="BA100" i="6"/>
  <c r="AY99" i="6"/>
  <c r="AM100" i="6"/>
  <c r="AV100" i="6"/>
  <c r="BG100" i="6"/>
  <c r="BC99" i="6"/>
  <c r="AG100" i="6"/>
  <c r="AR99" i="6"/>
  <c r="AP99" i="6"/>
  <c r="AX100" i="6"/>
  <c r="AH99" i="6"/>
  <c r="AM99" i="6"/>
  <c r="AJ99" i="6"/>
  <c r="BB99" i="6"/>
  <c r="BA99" i="6"/>
  <c r="BD99" i="6"/>
  <c r="AI99" i="6"/>
  <c r="BE99" i="6"/>
  <c r="AN99" i="6"/>
  <c r="AY100" i="6"/>
  <c r="BB100" i="6"/>
  <c r="AG99" i="6"/>
  <c r="AU99" i="6"/>
  <c r="BF99" i="6"/>
  <c r="AI100" i="6"/>
  <c r="AH100" i="6"/>
  <c r="AF100" i="6"/>
  <c r="AF99" i="6"/>
  <c r="AQ99" i="6"/>
  <c r="AC99" i="6"/>
  <c r="BC100" i="6"/>
  <c r="AD99" i="6"/>
  <c r="AV99" i="6"/>
  <c r="K100" i="12"/>
  <c r="BF100" i="6"/>
  <c r="AZ100" i="6"/>
  <c r="AS100" i="6"/>
  <c r="AC100" i="6"/>
  <c r="AU100" i="6"/>
  <c r="J101" i="12"/>
  <c r="L101" i="12"/>
  <c r="AE100" i="6"/>
  <c r="A101" i="6"/>
  <c r="AJ100" i="6"/>
  <c r="AR100" i="6"/>
  <c r="AE102" i="5"/>
  <c r="B102" i="6"/>
  <c r="D102" i="5"/>
  <c r="B102" i="12" s="1"/>
  <c r="F102" i="5"/>
  <c r="B102" i="5"/>
  <c r="H102" i="5"/>
  <c r="G102" i="5"/>
  <c r="E102" i="5"/>
  <c r="K102" i="5"/>
  <c r="N102" i="5"/>
  <c r="D102" i="6" s="1"/>
  <c r="H102" i="6" s="1"/>
  <c r="T102" i="5" s="1"/>
  <c r="AD102" i="5"/>
  <c r="C103" i="5"/>
  <c r="A102" i="12"/>
  <c r="J102" i="5"/>
  <c r="BD100" i="6"/>
  <c r="AB100" i="6"/>
  <c r="AQ100" i="6"/>
  <c r="J10" i="13"/>
  <c r="K101" i="12" l="1"/>
  <c r="A102" i="6"/>
  <c r="N102" i="6" s="1"/>
  <c r="J102" i="12"/>
  <c r="L102" i="12"/>
  <c r="B103" i="6"/>
  <c r="F103" i="5"/>
  <c r="J103" i="5"/>
  <c r="K103" i="5"/>
  <c r="AD103" i="5"/>
  <c r="A103" i="12"/>
  <c r="AE103" i="5"/>
  <c r="B103" i="5"/>
  <c r="C104" i="5" s="1"/>
  <c r="E103" i="5"/>
  <c r="D103" i="5"/>
  <c r="B103" i="12" s="1"/>
  <c r="G103" i="5"/>
  <c r="H103" i="5"/>
  <c r="N103" i="5"/>
  <c r="D103" i="6" s="1"/>
  <c r="H103" i="6" s="1"/>
  <c r="T103" i="5" s="1"/>
  <c r="N101" i="6"/>
  <c r="M101" i="6"/>
  <c r="M102" i="6"/>
  <c r="AB102" i="6" s="1"/>
  <c r="I55" i="5"/>
  <c r="I56" i="5" s="1"/>
  <c r="K102" i="12" l="1"/>
  <c r="BB102" i="6"/>
  <c r="BC102" i="6"/>
  <c r="AR102" i="6"/>
  <c r="BA102" i="6"/>
  <c r="W104" i="5"/>
  <c r="B104" i="6"/>
  <c r="A104" i="6" s="1"/>
  <c r="G104" i="5"/>
  <c r="AD104" i="5"/>
  <c r="C105" i="5"/>
  <c r="F104" i="5"/>
  <c r="K96" i="5" s="1"/>
  <c r="N104" i="5"/>
  <c r="D104" i="6" s="1"/>
  <c r="B104" i="5"/>
  <c r="AE104" i="5"/>
  <c r="E104" i="5"/>
  <c r="A104" i="12"/>
  <c r="H104" i="5"/>
  <c r="AN102" i="6"/>
  <c r="AI102" i="6"/>
  <c r="AO102" i="6"/>
  <c r="AP102" i="6"/>
  <c r="L103" i="12"/>
  <c r="J103" i="12"/>
  <c r="BF102" i="6"/>
  <c r="AK102" i="6"/>
  <c r="AE102" i="6"/>
  <c r="AX102" i="6"/>
  <c r="AD102" i="6"/>
  <c r="AJ101" i="6"/>
  <c r="BG101" i="6"/>
  <c r="AC101" i="6"/>
  <c r="BB101" i="6"/>
  <c r="AT101" i="6"/>
  <c r="AZ101" i="6"/>
  <c r="BF101" i="6"/>
  <c r="AB101" i="6"/>
  <c r="BD101" i="6"/>
  <c r="AM101" i="6"/>
  <c r="AX101" i="6"/>
  <c r="AR101" i="6"/>
  <c r="AE101" i="6"/>
  <c r="AG101" i="6"/>
  <c r="BC101" i="6"/>
  <c r="BA101" i="6"/>
  <c r="AI101" i="6"/>
  <c r="AD101" i="6"/>
  <c r="AP101" i="6"/>
  <c r="AO101" i="6"/>
  <c r="AU101" i="6"/>
  <c r="AS101" i="6"/>
  <c r="BE101" i="6"/>
  <c r="AF101" i="6"/>
  <c r="AV101" i="6"/>
  <c r="AY101" i="6"/>
  <c r="AQ101" i="6"/>
  <c r="AH101" i="6"/>
  <c r="AN101" i="6"/>
  <c r="AK101" i="6"/>
  <c r="AT102" i="6"/>
  <c r="AG102" i="6"/>
  <c r="AJ102" i="6"/>
  <c r="A103" i="6"/>
  <c r="M103" i="6" s="1"/>
  <c r="BE103" i="6" s="1"/>
  <c r="AF102" i="6"/>
  <c r="AU102" i="6"/>
  <c r="AZ102" i="6"/>
  <c r="AQ102" i="6"/>
  <c r="BE102" i="6"/>
  <c r="AV102" i="6"/>
  <c r="BG102" i="6"/>
  <c r="AC102" i="6"/>
  <c r="AM102" i="6"/>
  <c r="AS102" i="6"/>
  <c r="BD102" i="6"/>
  <c r="AY102" i="6"/>
  <c r="AH102" i="6"/>
  <c r="I60" i="5"/>
  <c r="BB103" i="6" l="1"/>
  <c r="AZ103" i="6"/>
  <c r="AK103" i="6"/>
  <c r="AP103" i="6"/>
  <c r="AQ104" i="6"/>
  <c r="AX104" i="6"/>
  <c r="N104" i="6"/>
  <c r="BC104" i="6"/>
  <c r="AM104" i="6"/>
  <c r="BD104" i="6"/>
  <c r="BE104" i="6"/>
  <c r="BF104" i="6"/>
  <c r="AR104" i="6"/>
  <c r="AS104" i="6"/>
  <c r="AV104" i="6"/>
  <c r="AZ104" i="6"/>
  <c r="M104" i="6"/>
  <c r="H104" i="6"/>
  <c r="T104" i="5" s="1"/>
  <c r="AY104" i="6"/>
  <c r="AN104" i="6"/>
  <c r="AU104" i="6"/>
  <c r="AT104" i="6"/>
  <c r="G104" i="6"/>
  <c r="BB104" i="6"/>
  <c r="AP104" i="6"/>
  <c r="BA104" i="6"/>
  <c r="AO104" i="6"/>
  <c r="BG104" i="6"/>
  <c r="K103" i="12"/>
  <c r="K105" i="5"/>
  <c r="AD105" i="5"/>
  <c r="N105" i="5"/>
  <c r="D105" i="6" s="1"/>
  <c r="E105" i="5"/>
  <c r="D105" i="5"/>
  <c r="B105" i="12" s="1"/>
  <c r="F105" i="5"/>
  <c r="C106" i="5"/>
  <c r="H105" i="5"/>
  <c r="G105" i="5"/>
  <c r="B105" i="6"/>
  <c r="J105" i="5"/>
  <c r="AE105" i="5"/>
  <c r="A105" i="12"/>
  <c r="B105" i="5"/>
  <c r="AC103" i="6"/>
  <c r="AO103" i="6"/>
  <c r="AE103" i="6"/>
  <c r="BG103" i="6"/>
  <c r="AH103" i="6"/>
  <c r="AR103" i="6"/>
  <c r="AN103" i="6"/>
  <c r="AX103" i="6"/>
  <c r="BA103" i="6"/>
  <c r="AQ103" i="6"/>
  <c r="AB103" i="6"/>
  <c r="AT103" i="6"/>
  <c r="AF103" i="6"/>
  <c r="BF103" i="6"/>
  <c r="AV103" i="6"/>
  <c r="AM103" i="6"/>
  <c r="AY103" i="6"/>
  <c r="AJ103" i="6"/>
  <c r="AD103" i="6"/>
  <c r="AI103" i="6"/>
  <c r="BD103" i="6"/>
  <c r="N103" i="6"/>
  <c r="BC103" i="6"/>
  <c r="AS103" i="6"/>
  <c r="AG103" i="6"/>
  <c r="AU103" i="6"/>
  <c r="I64" i="5"/>
  <c r="AG104" i="6" l="1"/>
  <c r="AB104" i="6"/>
  <c r="AE104" i="6"/>
  <c r="AF104" i="6"/>
  <c r="AI104" i="6"/>
  <c r="AH104" i="6"/>
  <c r="AJ104" i="6"/>
  <c r="J106" i="5"/>
  <c r="D106" i="5"/>
  <c r="B106" i="12" s="1"/>
  <c r="K106" i="5"/>
  <c r="AE106" i="5"/>
  <c r="H106" i="5"/>
  <c r="F106" i="5"/>
  <c r="AD106" i="5"/>
  <c r="N106" i="5"/>
  <c r="D106" i="6" s="1"/>
  <c r="E106" i="5"/>
  <c r="C107" i="5"/>
  <c r="G106" i="5"/>
  <c r="B106" i="6"/>
  <c r="B106" i="5"/>
  <c r="A106" i="12"/>
  <c r="H105" i="6"/>
  <c r="AK104" i="6"/>
  <c r="L105" i="12"/>
  <c r="J105" i="12"/>
  <c r="AC104" i="6"/>
  <c r="A105" i="6"/>
  <c r="N105" i="6" s="1"/>
  <c r="AD104" i="6"/>
  <c r="I73" i="5"/>
  <c r="A106" i="6" l="1"/>
  <c r="N106" i="6" s="1"/>
  <c r="C108" i="5"/>
  <c r="C109" i="5" s="1"/>
  <c r="J107" i="5"/>
  <c r="AE107" i="5"/>
  <c r="H107" i="5"/>
  <c r="K107" i="5"/>
  <c r="E107" i="5"/>
  <c r="B107" i="6"/>
  <c r="B107" i="5"/>
  <c r="N107" i="5"/>
  <c r="D107" i="6" s="1"/>
  <c r="A107" i="12"/>
  <c r="F107" i="5"/>
  <c r="AD107" i="5"/>
  <c r="D107" i="5"/>
  <c r="B107" i="12" s="1"/>
  <c r="G107" i="5"/>
  <c r="H106" i="6"/>
  <c r="T106" i="5" s="1"/>
  <c r="K105" i="12"/>
  <c r="M105" i="6"/>
  <c r="T105" i="5"/>
  <c r="J106" i="12"/>
  <c r="L106" i="12"/>
  <c r="K106" i="12" s="1"/>
  <c r="I82" i="5"/>
  <c r="B109" i="6" l="1"/>
  <c r="D109" i="5"/>
  <c r="B109" i="12" s="1"/>
  <c r="AE109" i="5"/>
  <c r="N109" i="5"/>
  <c r="AD109" i="5"/>
  <c r="A109" i="12"/>
  <c r="K109" i="5"/>
  <c r="J109" i="5"/>
  <c r="L107" i="12"/>
  <c r="J107" i="12"/>
  <c r="H107" i="6"/>
  <c r="T107" i="5" s="1"/>
  <c r="AZ105" i="6"/>
  <c r="AO105" i="6"/>
  <c r="BF105" i="6"/>
  <c r="AU105" i="6"/>
  <c r="AQ105" i="6"/>
  <c r="AN105" i="6"/>
  <c r="BG105" i="6"/>
  <c r="BD105" i="6"/>
  <c r="AS105" i="6"/>
  <c r="BE105" i="6"/>
  <c r="AV105" i="6"/>
  <c r="BA105" i="6"/>
  <c r="AP105" i="6"/>
  <c r="BC105" i="6"/>
  <c r="AX105" i="6"/>
  <c r="AR105" i="6"/>
  <c r="AT105" i="6"/>
  <c r="AY105" i="6"/>
  <c r="AM105" i="6"/>
  <c r="AB105" i="6"/>
  <c r="BB105" i="6"/>
  <c r="AJ105" i="6"/>
  <c r="A107" i="6"/>
  <c r="N107" i="6" s="1"/>
  <c r="AF105" i="6"/>
  <c r="AD105" i="6"/>
  <c r="AE105" i="6"/>
  <c r="AK105" i="6"/>
  <c r="M106" i="6"/>
  <c r="AC106" i="6" s="1"/>
  <c r="AG105" i="6"/>
  <c r="AH105" i="6"/>
  <c r="AI105" i="6"/>
  <c r="AC105" i="6"/>
  <c r="C110" i="5"/>
  <c r="A108" i="12"/>
  <c r="AE108" i="5"/>
  <c r="D108" i="5"/>
  <c r="B108" i="12" s="1"/>
  <c r="B108" i="5"/>
  <c r="B109" i="5" s="1"/>
  <c r="E108" i="5"/>
  <c r="E109" i="5" s="1"/>
  <c r="J108" i="5"/>
  <c r="AD108" i="5"/>
  <c r="F108" i="5"/>
  <c r="F109" i="5" s="1"/>
  <c r="K108" i="5"/>
  <c r="H108" i="5"/>
  <c r="H109" i="5" s="1"/>
  <c r="N108" i="5"/>
  <c r="D108" i="6" s="1"/>
  <c r="G108" i="5"/>
  <c r="G109" i="5" s="1"/>
  <c r="B108" i="6"/>
  <c r="I87" i="5"/>
  <c r="I88" i="5" s="1"/>
  <c r="J109" i="12" l="1"/>
  <c r="L109" i="12"/>
  <c r="K109" i="12" s="1"/>
  <c r="D109" i="6"/>
  <c r="A108" i="6"/>
  <c r="M108" i="6" s="1"/>
  <c r="BC108" i="6" s="1"/>
  <c r="J108" i="12"/>
  <c r="L108" i="12"/>
  <c r="AB106" i="6"/>
  <c r="H108" i="6"/>
  <c r="T108" i="5" s="1"/>
  <c r="J110" i="5"/>
  <c r="AE110" i="5"/>
  <c r="B110" i="6"/>
  <c r="N110" i="5"/>
  <c r="D110" i="6" s="1"/>
  <c r="A110" i="12"/>
  <c r="AD110" i="5"/>
  <c r="C111" i="5"/>
  <c r="D110" i="5"/>
  <c r="B110" i="12" s="1"/>
  <c r="K110" i="5"/>
  <c r="H110" i="5"/>
  <c r="F110" i="5"/>
  <c r="G110" i="5"/>
  <c r="M107" i="6"/>
  <c r="BG106" i="6"/>
  <c r="AZ106" i="6"/>
  <c r="BB106" i="6"/>
  <c r="AN106" i="6"/>
  <c r="AS106" i="6"/>
  <c r="AH106" i="6"/>
  <c r="BF106" i="6"/>
  <c r="AV106" i="6"/>
  <c r="AT106" i="6"/>
  <c r="AD106" i="6"/>
  <c r="AM106" i="6"/>
  <c r="BD106" i="6"/>
  <c r="BC106" i="6"/>
  <c r="AO106" i="6"/>
  <c r="AQ106" i="6"/>
  <c r="AP106" i="6"/>
  <c r="AX106" i="6"/>
  <c r="AG106" i="6"/>
  <c r="AU106" i="6"/>
  <c r="AI106" i="6"/>
  <c r="AY106" i="6"/>
  <c r="AF106" i="6"/>
  <c r="AJ106" i="6"/>
  <c r="BE106" i="6"/>
  <c r="AR106" i="6"/>
  <c r="BA106" i="6"/>
  <c r="AE106" i="6"/>
  <c r="E110" i="5"/>
  <c r="B110" i="5"/>
  <c r="AK106" i="6"/>
  <c r="K107" i="12"/>
  <c r="I92" i="5"/>
  <c r="A109" i="6" l="1"/>
  <c r="N109" i="6" s="1"/>
  <c r="H109" i="6"/>
  <c r="T109" i="5" s="1"/>
  <c r="N108" i="6"/>
  <c r="K108" i="12"/>
  <c r="BF108" i="6"/>
  <c r="AB108" i="6"/>
  <c r="AO108" i="6"/>
  <c r="AM108" i="6"/>
  <c r="AR108" i="6"/>
  <c r="AS108" i="6"/>
  <c r="AJ108" i="6"/>
  <c r="AE108" i="6"/>
  <c r="BB108" i="6"/>
  <c r="AN108" i="6"/>
  <c r="BD108" i="6"/>
  <c r="AF108" i="6"/>
  <c r="AC108" i="6"/>
  <c r="AX108" i="6"/>
  <c r="AZ108" i="6"/>
  <c r="AK108" i="6"/>
  <c r="AV108" i="6"/>
  <c r="BA108" i="6"/>
  <c r="BE108" i="6"/>
  <c r="AI108" i="6"/>
  <c r="AU108" i="6"/>
  <c r="BG108" i="6"/>
  <c r="AY108" i="6"/>
  <c r="AH108" i="6"/>
  <c r="AQ108" i="6"/>
  <c r="AT108" i="6"/>
  <c r="AP108" i="6"/>
  <c r="AI107" i="6"/>
  <c r="AM107" i="6"/>
  <c r="BB107" i="6"/>
  <c r="AR107" i="6"/>
  <c r="AF107" i="6"/>
  <c r="AY107" i="6"/>
  <c r="BG107" i="6"/>
  <c r="AT107" i="6"/>
  <c r="BA107" i="6"/>
  <c r="AP107" i="6"/>
  <c r="AC107" i="6"/>
  <c r="AO107" i="6"/>
  <c r="AU107" i="6"/>
  <c r="BD107" i="6"/>
  <c r="AB107" i="6"/>
  <c r="AQ107" i="6"/>
  <c r="AH107" i="6"/>
  <c r="BF107" i="6"/>
  <c r="AD107" i="6"/>
  <c r="AV107" i="6"/>
  <c r="AS107" i="6"/>
  <c r="BC107" i="6"/>
  <c r="AN107" i="6"/>
  <c r="AX107" i="6"/>
  <c r="AG107" i="6"/>
  <c r="AZ107" i="6"/>
  <c r="BE107" i="6"/>
  <c r="AJ107" i="6"/>
  <c r="AE107" i="6"/>
  <c r="AK107" i="6"/>
  <c r="AD108" i="6"/>
  <c r="K111" i="5"/>
  <c r="F111" i="5"/>
  <c r="G111" i="5"/>
  <c r="B111" i="6"/>
  <c r="J111" i="5"/>
  <c r="H111" i="5"/>
  <c r="AE111" i="5"/>
  <c r="N111" i="5"/>
  <c r="D111" i="6" s="1"/>
  <c r="E111" i="5"/>
  <c r="D111" i="5"/>
  <c r="B111" i="12" s="1"/>
  <c r="B111" i="5"/>
  <c r="C112" i="5"/>
  <c r="AD111" i="5"/>
  <c r="A111" i="12"/>
  <c r="L110" i="12"/>
  <c r="J110" i="12"/>
  <c r="H110" i="6"/>
  <c r="T110" i="5" s="1"/>
  <c r="A110" i="6"/>
  <c r="N110" i="6" s="1"/>
  <c r="AG108" i="6"/>
  <c r="I96" i="5"/>
  <c r="M109" i="6" l="1"/>
  <c r="AX109" i="6" s="1"/>
  <c r="K110" i="12"/>
  <c r="A111" i="6"/>
  <c r="N111" i="6" s="1"/>
  <c r="G112" i="5"/>
  <c r="E112" i="5"/>
  <c r="AE112" i="5"/>
  <c r="K112" i="5"/>
  <c r="F112" i="5"/>
  <c r="A112" i="12"/>
  <c r="B112" i="5"/>
  <c r="C113" i="5" s="1"/>
  <c r="N112" i="5"/>
  <c r="D112" i="6" s="1"/>
  <c r="B112" i="6"/>
  <c r="AD112" i="5"/>
  <c r="J112" i="5"/>
  <c r="D112" i="5"/>
  <c r="B112" i="12" s="1"/>
  <c r="H112" i="5"/>
  <c r="H111" i="6"/>
  <c r="T111" i="5" s="1"/>
  <c r="L111" i="12"/>
  <c r="J111" i="12"/>
  <c r="M110" i="6"/>
  <c r="AD110" i="6" s="1"/>
  <c r="I104" i="5"/>
  <c r="BE109" i="6" l="1"/>
  <c r="AI109" i="6"/>
  <c r="AK109" i="6"/>
  <c r="AZ109" i="6"/>
  <c r="AQ109" i="6"/>
  <c r="AC109" i="6"/>
  <c r="AT109" i="6"/>
  <c r="AM109" i="6"/>
  <c r="AB109" i="6"/>
  <c r="BB109" i="6"/>
  <c r="AD109" i="6"/>
  <c r="AH109" i="6"/>
  <c r="BC109" i="6"/>
  <c r="BA109" i="6"/>
  <c r="AR109" i="6"/>
  <c r="AS109" i="6"/>
  <c r="AJ109" i="6"/>
  <c r="AN109" i="6"/>
  <c r="BF109" i="6"/>
  <c r="AE109" i="6"/>
  <c r="AP109" i="6"/>
  <c r="AG109" i="6"/>
  <c r="AV109" i="6"/>
  <c r="AY109" i="6"/>
  <c r="AO109" i="6"/>
  <c r="AU109" i="6"/>
  <c r="BD109" i="6"/>
  <c r="BG109" i="6"/>
  <c r="AF109" i="6"/>
  <c r="M111" i="6"/>
  <c r="BE111" i="6" s="1"/>
  <c r="A112" i="6"/>
  <c r="N112" i="6" s="1"/>
  <c r="K111" i="12"/>
  <c r="H112" i="6"/>
  <c r="T112" i="5" s="1"/>
  <c r="G113" i="5"/>
  <c r="H113" i="5"/>
  <c r="E113" i="5"/>
  <c r="W113" i="5"/>
  <c r="AD113" i="5"/>
  <c r="B113" i="6"/>
  <c r="A113" i="6" s="1"/>
  <c r="AE113" i="5"/>
  <c r="C114" i="5"/>
  <c r="N113" i="5"/>
  <c r="D113" i="6" s="1"/>
  <c r="B113" i="5"/>
  <c r="F113" i="5"/>
  <c r="K104" i="5" s="1"/>
  <c r="A113" i="12"/>
  <c r="AI110" i="6"/>
  <c r="J112" i="12"/>
  <c r="L112" i="12"/>
  <c r="AE110" i="6"/>
  <c r="AB110" i="6"/>
  <c r="AH110" i="6"/>
  <c r="AF110" i="6"/>
  <c r="AC110" i="6"/>
  <c r="AG110" i="6"/>
  <c r="BE110" i="6"/>
  <c r="AT110" i="6"/>
  <c r="BB110" i="6"/>
  <c r="AN110" i="6"/>
  <c r="BD110" i="6"/>
  <c r="AR110" i="6"/>
  <c r="BF110" i="6"/>
  <c r="AP110" i="6"/>
  <c r="AO110" i="6"/>
  <c r="AS110" i="6"/>
  <c r="AX110" i="6"/>
  <c r="BG110" i="6"/>
  <c r="AQ110" i="6"/>
  <c r="AM110" i="6"/>
  <c r="AV110" i="6"/>
  <c r="BA110" i="6"/>
  <c r="AZ110" i="6"/>
  <c r="AU110" i="6"/>
  <c r="AY110" i="6"/>
  <c r="BC110" i="6"/>
  <c r="AK110" i="6"/>
  <c r="AJ110" i="6"/>
  <c r="I113" i="5"/>
  <c r="BF111" i="6" l="1"/>
  <c r="AU111" i="6"/>
  <c r="AT111" i="6"/>
  <c r="AO111" i="6"/>
  <c r="AS111" i="6"/>
  <c r="AY111" i="6"/>
  <c r="AX111" i="6"/>
  <c r="AD111" i="6"/>
  <c r="K112" i="12"/>
  <c r="AG111" i="6"/>
  <c r="AQ111" i="6"/>
  <c r="AR111" i="6"/>
  <c r="AK111" i="6"/>
  <c r="BD111" i="6"/>
  <c r="BG111" i="6"/>
  <c r="AJ111" i="6"/>
  <c r="AC111" i="6"/>
  <c r="AF111" i="6"/>
  <c r="AB111" i="6"/>
  <c r="AE111" i="6"/>
  <c r="BC111" i="6"/>
  <c r="BA111" i="6"/>
  <c r="AZ111" i="6"/>
  <c r="BB111" i="6"/>
  <c r="AI111" i="6"/>
  <c r="AH111" i="6"/>
  <c r="AP111" i="6"/>
  <c r="M112" i="6"/>
  <c r="AU112" i="6" s="1"/>
  <c r="AV111" i="6"/>
  <c r="AM111" i="6"/>
  <c r="AN111" i="6"/>
  <c r="BF113" i="6"/>
  <c r="BD113" i="6"/>
  <c r="AN113" i="6"/>
  <c r="AR113" i="6"/>
  <c r="AX113" i="6"/>
  <c r="AP113" i="6"/>
  <c r="AO113" i="6"/>
  <c r="BA113" i="6"/>
  <c r="N113" i="6"/>
  <c r="M113" i="6"/>
  <c r="H113" i="6"/>
  <c r="T113" i="5" s="1"/>
  <c r="AT113" i="6"/>
  <c r="AZ113" i="6"/>
  <c r="BB113" i="6"/>
  <c r="BG113" i="6"/>
  <c r="BE113" i="6"/>
  <c r="AQ113" i="6"/>
  <c r="AV113" i="6"/>
  <c r="G113" i="6"/>
  <c r="AY113" i="6"/>
  <c r="BC113" i="6"/>
  <c r="AM113" i="6"/>
  <c r="AS113" i="6"/>
  <c r="AU113" i="6"/>
  <c r="G114" i="5"/>
  <c r="F114" i="5"/>
  <c r="B114" i="5"/>
  <c r="D114" i="5"/>
  <c r="B114" i="12" s="1"/>
  <c r="AD114" i="5"/>
  <c r="B114" i="6"/>
  <c r="E114" i="5"/>
  <c r="J114" i="5"/>
  <c r="N114" i="5"/>
  <c r="D114" i="6" s="1"/>
  <c r="AE114" i="5"/>
  <c r="A114" i="12"/>
  <c r="K114" i="5"/>
  <c r="H114" i="5"/>
  <c r="C115" i="5"/>
  <c r="BF112" i="6" l="1"/>
  <c r="AR112" i="6"/>
  <c r="AN112" i="6"/>
  <c r="BC112" i="6"/>
  <c r="AI112" i="6"/>
  <c r="AF112" i="6"/>
  <c r="AH112" i="6"/>
  <c r="AY112" i="6"/>
  <c r="AP112" i="6"/>
  <c r="AG112" i="6"/>
  <c r="AQ112" i="6"/>
  <c r="AZ112" i="6"/>
  <c r="BD112" i="6"/>
  <c r="AS112" i="6"/>
  <c r="AX112" i="6"/>
  <c r="BA112" i="6"/>
  <c r="BE112" i="6"/>
  <c r="AD112" i="6"/>
  <c r="AO112" i="6"/>
  <c r="AB112" i="6"/>
  <c r="BB112" i="6"/>
  <c r="AC112" i="6"/>
  <c r="AJ112" i="6"/>
  <c r="AM112" i="6"/>
  <c r="AK112" i="6"/>
  <c r="BG112" i="6"/>
  <c r="AV112" i="6"/>
  <c r="AE112" i="6"/>
  <c r="AT112" i="6"/>
  <c r="AD113" i="6"/>
  <c r="AI113" i="6"/>
  <c r="AJ113" i="6"/>
  <c r="AB113" i="6"/>
  <c r="AH113" i="6"/>
  <c r="AF113" i="6"/>
  <c r="A114" i="6"/>
  <c r="N114" i="6" s="1"/>
  <c r="AK113" i="6"/>
  <c r="AE113" i="6"/>
  <c r="AD115" i="5"/>
  <c r="A115" i="12"/>
  <c r="AE115" i="5"/>
  <c r="D115" i="5"/>
  <c r="B115" i="12" s="1"/>
  <c r="G115" i="5"/>
  <c r="F115" i="5"/>
  <c r="K115" i="5"/>
  <c r="H115" i="5"/>
  <c r="B115" i="5"/>
  <c r="N115" i="5"/>
  <c r="D115" i="6" s="1"/>
  <c r="E115" i="5"/>
  <c r="J115" i="5"/>
  <c r="C116" i="5"/>
  <c r="B115" i="6"/>
  <c r="L114" i="12"/>
  <c r="J114" i="12"/>
  <c r="H114" i="6"/>
  <c r="T114" i="5" s="1"/>
  <c r="AG113" i="6"/>
  <c r="AC113" i="6"/>
  <c r="M114" i="6" l="1"/>
  <c r="AO114" i="6" s="1"/>
  <c r="H115" i="6"/>
  <c r="T115" i="5" s="1"/>
  <c r="A115" i="6"/>
  <c r="L115" i="12"/>
  <c r="J115" i="12"/>
  <c r="C117" i="5"/>
  <c r="A116" i="12"/>
  <c r="J116" i="5"/>
  <c r="B116" i="5"/>
  <c r="N116" i="5"/>
  <c r="D116" i="6" s="1"/>
  <c r="F116" i="5"/>
  <c r="K116" i="5"/>
  <c r="AE116" i="5"/>
  <c r="E116" i="5"/>
  <c r="D116" i="5"/>
  <c r="B116" i="12" s="1"/>
  <c r="H116" i="5"/>
  <c r="B116" i="6"/>
  <c r="AD116" i="5"/>
  <c r="G116" i="5"/>
  <c r="K114" i="12"/>
  <c r="M115" i="6" l="1"/>
  <c r="BE115" i="6" s="1"/>
  <c r="AM114" i="6"/>
  <c r="AD114" i="6"/>
  <c r="AR114" i="6"/>
  <c r="AC114" i="6"/>
  <c r="AP114" i="6"/>
  <c r="AQ114" i="6"/>
  <c r="AX114" i="6"/>
  <c r="AH114" i="6"/>
  <c r="AN114" i="6"/>
  <c r="AJ114" i="6"/>
  <c r="AI114" i="6"/>
  <c r="AS114" i="6"/>
  <c r="BE114" i="6"/>
  <c r="AT114" i="6"/>
  <c r="BG114" i="6"/>
  <c r="AY114" i="6"/>
  <c r="AV114" i="6"/>
  <c r="AG114" i="6"/>
  <c r="BB114" i="6"/>
  <c r="BC114" i="6"/>
  <c r="BA114" i="6"/>
  <c r="BF114" i="6"/>
  <c r="AE114" i="6"/>
  <c r="AB114" i="6"/>
  <c r="AK114" i="6"/>
  <c r="AZ114" i="6"/>
  <c r="AF114" i="6"/>
  <c r="AU114" i="6"/>
  <c r="BD114" i="6"/>
  <c r="G117" i="5"/>
  <c r="A116" i="6"/>
  <c r="N116" i="6" s="1"/>
  <c r="K115" i="12"/>
  <c r="AZ115" i="6"/>
  <c r="AP115" i="6"/>
  <c r="AY115" i="6"/>
  <c r="AX115" i="6"/>
  <c r="E117" i="5"/>
  <c r="N115" i="6"/>
  <c r="F117" i="5"/>
  <c r="H116" i="6"/>
  <c r="T116" i="5" s="1"/>
  <c r="B117" i="5"/>
  <c r="L116" i="12"/>
  <c r="J116" i="12"/>
  <c r="AD117" i="5"/>
  <c r="A117" i="12"/>
  <c r="AE117" i="5"/>
  <c r="N117" i="5"/>
  <c r="D117" i="6" s="1"/>
  <c r="K117" i="5"/>
  <c r="J117" i="5"/>
  <c r="C118" i="5"/>
  <c r="B117" i="6"/>
  <c r="D117" i="5"/>
  <c r="B117" i="12" s="1"/>
  <c r="AG115" i="6"/>
  <c r="H117" i="5"/>
  <c r="AI115" i="6"/>
  <c r="AF56" i="5"/>
  <c r="AF73" i="5"/>
  <c r="AF55" i="5"/>
  <c r="AF46" i="5"/>
  <c r="AF60" i="5"/>
  <c r="AF104" i="5"/>
  <c r="AF87" i="5"/>
  <c r="AF88" i="5"/>
  <c r="AF64" i="5"/>
  <c r="AF113" i="5"/>
  <c r="AF92" i="5"/>
  <c r="AF82" i="5"/>
  <c r="AF96" i="5"/>
  <c r="AE115" i="6" l="1"/>
  <c r="BG115" i="6"/>
  <c r="AN115" i="6"/>
  <c r="AM115" i="6"/>
  <c r="AC115" i="6"/>
  <c r="AR115" i="6"/>
  <c r="AD115" i="6"/>
  <c r="AK115" i="6"/>
  <c r="AU115" i="6"/>
  <c r="AH115" i="6"/>
  <c r="BC115" i="6"/>
  <c r="BF115" i="6"/>
  <c r="AQ115" i="6"/>
  <c r="AJ115" i="6"/>
  <c r="BD115" i="6"/>
  <c r="AV115" i="6"/>
  <c r="BA115" i="6"/>
  <c r="AF115" i="6"/>
  <c r="AO115" i="6"/>
  <c r="AB115" i="6"/>
  <c r="BB115" i="6"/>
  <c r="AT115" i="6"/>
  <c r="AS115" i="6"/>
  <c r="M116" i="6"/>
  <c r="AE116" i="6" s="1"/>
  <c r="K116" i="12"/>
  <c r="A117" i="6"/>
  <c r="N117" i="6" s="1"/>
  <c r="A5" i="5"/>
  <c r="H118" i="5"/>
  <c r="AE118" i="5"/>
  <c r="D118" i="5"/>
  <c r="B118" i="12" s="1"/>
  <c r="J118" i="5"/>
  <c r="B118" i="5"/>
  <c r="F118" i="5"/>
  <c r="K82" i="5" s="1"/>
  <c r="D82" i="5" s="1"/>
  <c r="B82" i="12" s="1"/>
  <c r="AD118" i="5"/>
  <c r="E1" i="8" s="1"/>
  <c r="E2" i="8" s="1"/>
  <c r="N118" i="5"/>
  <c r="D118" i="6" s="1"/>
  <c r="B118" i="6"/>
  <c r="A118" i="12"/>
  <c r="G118" i="5"/>
  <c r="K118" i="5"/>
  <c r="E118" i="5"/>
  <c r="B23" i="11" s="1"/>
  <c r="H117" i="6"/>
  <c r="T117" i="5" s="1"/>
  <c r="J117" i="12"/>
  <c r="L117" i="12"/>
  <c r="S60" i="5"/>
  <c r="AG60" i="5"/>
  <c r="U60" i="5" s="1"/>
  <c r="AN60" i="5" s="1"/>
  <c r="S46" i="5"/>
  <c r="AG46" i="5"/>
  <c r="U46" i="5" s="1"/>
  <c r="AN46" i="5" s="1"/>
  <c r="S73" i="5"/>
  <c r="AG73" i="5"/>
  <c r="U73" i="5" s="1"/>
  <c r="AN73" i="5" s="1"/>
  <c r="S56" i="5"/>
  <c r="AG56" i="5"/>
  <c r="U56" i="5" s="1"/>
  <c r="AN56" i="5" s="1"/>
  <c r="AG55" i="5"/>
  <c r="U55" i="5" s="1"/>
  <c r="AN55" i="5" s="1"/>
  <c r="S55" i="5"/>
  <c r="S113" i="5"/>
  <c r="AG113" i="5"/>
  <c r="U113" i="5" s="1"/>
  <c r="AN113" i="5" s="1"/>
  <c r="AG96" i="5"/>
  <c r="U96" i="5" s="1"/>
  <c r="AN96" i="5" s="1"/>
  <c r="S96" i="5"/>
  <c r="AG92" i="5"/>
  <c r="U92" i="5" s="1"/>
  <c r="AN92" i="5" s="1"/>
  <c r="S92" i="5"/>
  <c r="AG82" i="5"/>
  <c r="U82" i="5" s="1"/>
  <c r="AN82" i="5" s="1"/>
  <c r="S82" i="5"/>
  <c r="S104" i="5"/>
  <c r="AG104" i="5"/>
  <c r="U104" i="5" s="1"/>
  <c r="AN104" i="5" s="1"/>
  <c r="S88" i="5"/>
  <c r="AG88" i="5"/>
  <c r="U88" i="5" s="1"/>
  <c r="AN88" i="5" s="1"/>
  <c r="AG64" i="5"/>
  <c r="U64" i="5" s="1"/>
  <c r="AN64" i="5" s="1"/>
  <c r="S64" i="5"/>
  <c r="S87" i="5"/>
  <c r="AG87" i="5"/>
  <c r="U87" i="5" s="1"/>
  <c r="AN87" i="5" s="1"/>
  <c r="J16" i="5" l="1"/>
  <c r="D16" i="5" s="1"/>
  <c r="B14" i="13" s="1"/>
  <c r="B17" i="11"/>
  <c r="AV116" i="6"/>
  <c r="J55" i="5"/>
  <c r="D55" i="5" s="1"/>
  <c r="B55" i="12" s="1"/>
  <c r="AO116" i="6"/>
  <c r="K87" i="5"/>
  <c r="AB116" i="6"/>
  <c r="BG116" i="6"/>
  <c r="AY116" i="6"/>
  <c r="AX116" i="6"/>
  <c r="BF116" i="6"/>
  <c r="AT116" i="6"/>
  <c r="AI116" i="6"/>
  <c r="BC116" i="6"/>
  <c r="BD116" i="6"/>
  <c r="AF116" i="6"/>
  <c r="AG116" i="6"/>
  <c r="AZ116" i="6"/>
  <c r="AU116" i="6"/>
  <c r="AS116" i="6"/>
  <c r="AN116" i="6"/>
  <c r="BE116" i="6"/>
  <c r="AC116" i="6"/>
  <c r="AD116" i="6"/>
  <c r="AP116" i="6"/>
  <c r="BB116" i="6"/>
  <c r="AJ116" i="6"/>
  <c r="AM116" i="6"/>
  <c r="AK116" i="6"/>
  <c r="AH116" i="6"/>
  <c r="AQ116" i="6"/>
  <c r="AR116" i="6"/>
  <c r="BA116" i="6"/>
  <c r="B20" i="11"/>
  <c r="O20" i="11" s="1"/>
  <c r="E38" i="8"/>
  <c r="E39" i="8" s="1"/>
  <c r="I38" i="8" s="1"/>
  <c r="E62" i="8"/>
  <c r="E63" i="8" s="1"/>
  <c r="I62" i="8" s="1"/>
  <c r="E20" i="8"/>
  <c r="E21" i="8" s="1"/>
  <c r="I20" i="8" s="1"/>
  <c r="E59" i="8"/>
  <c r="E60" i="8" s="1"/>
  <c r="L59" i="8" s="1"/>
  <c r="O59" i="8" s="1"/>
  <c r="M117" i="6"/>
  <c r="BB117" i="6" s="1"/>
  <c r="K117" i="12"/>
  <c r="AA23" i="11"/>
  <c r="AB23" i="11"/>
  <c r="N23" i="11" s="1"/>
  <c r="G23" i="11"/>
  <c r="F23" i="13" s="1"/>
  <c r="C23" i="13"/>
  <c r="O23" i="11"/>
  <c r="K23" i="11"/>
  <c r="J23" i="13" s="1"/>
  <c r="E32" i="8"/>
  <c r="E33" i="8" s="1"/>
  <c r="E44" i="8"/>
  <c r="E45" i="8" s="1"/>
  <c r="E56" i="8"/>
  <c r="E57" i="8" s="1"/>
  <c r="E50" i="8"/>
  <c r="E51" i="8" s="1"/>
  <c r="E29" i="8"/>
  <c r="E30" i="8" s="1"/>
  <c r="E14" i="8"/>
  <c r="E15" i="8" s="1"/>
  <c r="E17" i="8"/>
  <c r="E18" i="8" s="1"/>
  <c r="E35" i="8"/>
  <c r="E36" i="8" s="1"/>
  <c r="E26" i="8"/>
  <c r="E27" i="8" s="1"/>
  <c r="E65" i="8"/>
  <c r="E66" i="8" s="1"/>
  <c r="K113" i="5"/>
  <c r="J88" i="5"/>
  <c r="D88" i="5" s="1"/>
  <c r="B88" i="12" s="1"/>
  <c r="J96" i="5"/>
  <c r="D96" i="5" s="1"/>
  <c r="B96" i="12" s="1"/>
  <c r="J92" i="5"/>
  <c r="D92" i="5" s="1"/>
  <c r="B92" i="12" s="1"/>
  <c r="J104" i="5"/>
  <c r="D104" i="5" s="1"/>
  <c r="B104" i="12" s="1"/>
  <c r="K46" i="5"/>
  <c r="D46" i="5" s="1"/>
  <c r="B46" i="12" s="1"/>
  <c r="AB17" i="11"/>
  <c r="N17" i="11" s="1"/>
  <c r="G17" i="11"/>
  <c r="F17" i="13" s="1"/>
  <c r="AA17" i="11"/>
  <c r="K17" i="11"/>
  <c r="J17" i="13" s="1"/>
  <c r="C17" i="13"/>
  <c r="O17" i="11"/>
  <c r="B21" i="11"/>
  <c r="E53" i="8"/>
  <c r="E54" i="8" s="1"/>
  <c r="A19" i="13"/>
  <c r="A23" i="13"/>
  <c r="B22" i="11"/>
  <c r="J87" i="5"/>
  <c r="A20" i="13"/>
  <c r="A12" i="13"/>
  <c r="B18" i="11"/>
  <c r="A22" i="13"/>
  <c r="A21" i="13"/>
  <c r="B12" i="11"/>
  <c r="A18" i="13"/>
  <c r="B15" i="13"/>
  <c r="E23" i="8"/>
  <c r="E24" i="8" s="1"/>
  <c r="A17" i="13"/>
  <c r="E41" i="8"/>
  <c r="E42" i="8" s="1"/>
  <c r="E47" i="8"/>
  <c r="E48" i="8" s="1"/>
  <c r="B19" i="11"/>
  <c r="N1" i="8"/>
  <c r="M1" i="8"/>
  <c r="L1" i="8"/>
  <c r="O1" i="8"/>
  <c r="R1" i="8"/>
  <c r="F2" i="8" s="1"/>
  <c r="H1" i="8"/>
  <c r="I1" i="8"/>
  <c r="P1" i="8"/>
  <c r="L118" i="12"/>
  <c r="J118" i="12"/>
  <c r="J113" i="5"/>
  <c r="A118" i="6"/>
  <c r="M118" i="6" s="1"/>
  <c r="H118" i="6"/>
  <c r="T118" i="5" s="1"/>
  <c r="B16" i="12" l="1"/>
  <c r="L20" i="8"/>
  <c r="P20" i="8" s="1"/>
  <c r="AB20" i="11"/>
  <c r="N20" i="11" s="1"/>
  <c r="L62" i="8"/>
  <c r="O62" i="8" s="1"/>
  <c r="AA20" i="11"/>
  <c r="C20" i="13"/>
  <c r="A48" i="10"/>
  <c r="AX117" i="6"/>
  <c r="D87" i="5"/>
  <c r="B16" i="13" s="1"/>
  <c r="AH117" i="6"/>
  <c r="AD117" i="6"/>
  <c r="BC117" i="6"/>
  <c r="L38" i="8"/>
  <c r="O38" i="8" s="1"/>
  <c r="K20" i="11"/>
  <c r="J20" i="13" s="1"/>
  <c r="AC117" i="6"/>
  <c r="AV117" i="6"/>
  <c r="AO117" i="6"/>
  <c r="BD117" i="6"/>
  <c r="BF117" i="6"/>
  <c r="G20" i="11"/>
  <c r="F20" i="13" s="1"/>
  <c r="AT117" i="6"/>
  <c r="AZ117" i="6"/>
  <c r="AF117" i="6"/>
  <c r="I59" i="8"/>
  <c r="AN117" i="6"/>
  <c r="AM117" i="6"/>
  <c r="AB117" i="6"/>
  <c r="AG117" i="6"/>
  <c r="BA117" i="6"/>
  <c r="AE117" i="6"/>
  <c r="P59" i="8"/>
  <c r="AY117" i="6"/>
  <c r="AI117" i="6"/>
  <c r="AP117" i="6"/>
  <c r="A36" i="10"/>
  <c r="C49" i="10"/>
  <c r="AK118" i="6"/>
  <c r="C23" i="9"/>
  <c r="C45" i="9"/>
  <c r="AN118" i="6"/>
  <c r="AJ118" i="6"/>
  <c r="A52" i="9"/>
  <c r="C54" i="9"/>
  <c r="AZ118" i="6"/>
  <c r="AE118" i="6"/>
  <c r="AX118" i="6"/>
  <c r="AK117" i="6"/>
  <c r="AI118" i="6"/>
  <c r="AR118" i="6"/>
  <c r="BC118" i="6"/>
  <c r="AP118" i="6"/>
  <c r="AC118" i="6"/>
  <c r="C24" i="9"/>
  <c r="AR117" i="6"/>
  <c r="BG117" i="6"/>
  <c r="AJ117" i="6"/>
  <c r="A47" i="10"/>
  <c r="BE118" i="6"/>
  <c r="AQ118" i="6"/>
  <c r="A20" i="9"/>
  <c r="A29" i="10"/>
  <c r="AH118" i="6"/>
  <c r="AO118" i="6"/>
  <c r="A64" i="10"/>
  <c r="C62" i="10"/>
  <c r="C37" i="10"/>
  <c r="AV118" i="6"/>
  <c r="AU118" i="6"/>
  <c r="A19" i="10"/>
  <c r="AS117" i="6"/>
  <c r="C54" i="10"/>
  <c r="BG118" i="6"/>
  <c r="BD118" i="6"/>
  <c r="A57" i="10"/>
  <c r="N118" i="6"/>
  <c r="A49" i="9"/>
  <c r="BE117" i="6"/>
  <c r="AQ117" i="6"/>
  <c r="AU117" i="6"/>
  <c r="A62" i="9"/>
  <c r="C51" i="10"/>
  <c r="C19" i="9"/>
  <c r="A49" i="10"/>
  <c r="A17" i="10"/>
  <c r="A27" i="10"/>
  <c r="I41" i="8"/>
  <c r="L41" i="8"/>
  <c r="A45" i="10"/>
  <c r="A21" i="10"/>
  <c r="B23" i="13"/>
  <c r="AJ23" i="13" s="1"/>
  <c r="AL23" i="13"/>
  <c r="AO23" i="13"/>
  <c r="O20" i="8"/>
  <c r="R22" i="8"/>
  <c r="A34" i="10"/>
  <c r="A53" i="9"/>
  <c r="A35" i="10"/>
  <c r="A60" i="9"/>
  <c r="C60" i="9"/>
  <c r="A18" i="10"/>
  <c r="A52" i="10"/>
  <c r="C34" i="10"/>
  <c r="A33" i="9"/>
  <c r="C48" i="10"/>
  <c r="A28" i="10"/>
  <c r="A34" i="9"/>
  <c r="A24" i="9"/>
  <c r="C44" i="9"/>
  <c r="AO19" i="13"/>
  <c r="AL19" i="13"/>
  <c r="B19" i="13"/>
  <c r="AJ19" i="13" s="1"/>
  <c r="C29" i="9"/>
  <c r="C36" i="10"/>
  <c r="A38" i="9"/>
  <c r="A33" i="10"/>
  <c r="A50" i="9"/>
  <c r="A54" i="9"/>
  <c r="C39" i="10"/>
  <c r="A57" i="9"/>
  <c r="A41" i="10"/>
  <c r="A61" i="10"/>
  <c r="AA19" i="11"/>
  <c r="K19" i="11"/>
  <c r="J19" i="13" s="1"/>
  <c r="AB19" i="11"/>
  <c r="N19" i="11" s="1"/>
  <c r="G19" i="11"/>
  <c r="F19" i="13" s="1"/>
  <c r="O19" i="11"/>
  <c r="C19" i="13"/>
  <c r="AL17" i="13"/>
  <c r="AO17" i="13"/>
  <c r="B17" i="13"/>
  <c r="AN17" i="13" s="1"/>
  <c r="A22" i="9"/>
  <c r="A23" i="10"/>
  <c r="C18" i="9"/>
  <c r="A16" i="9"/>
  <c r="O21" i="11"/>
  <c r="G21" i="11"/>
  <c r="F21" i="13" s="1"/>
  <c r="C21" i="13"/>
  <c r="K21" i="11"/>
  <c r="J21" i="13" s="1"/>
  <c r="AB21" i="11"/>
  <c r="N21" i="11" s="1"/>
  <c r="AA21" i="11"/>
  <c r="A42" i="10"/>
  <c r="C25" i="9"/>
  <c r="A41" i="9"/>
  <c r="C26" i="9"/>
  <c r="A56" i="10"/>
  <c r="C53" i="9"/>
  <c r="L26" i="8"/>
  <c r="I26" i="8"/>
  <c r="A26" i="10"/>
  <c r="C17" i="10"/>
  <c r="C41" i="10"/>
  <c r="A63" i="9"/>
  <c r="L53" i="8"/>
  <c r="P53" i="8" s="1"/>
  <c r="I53" i="8"/>
  <c r="A51" i="10"/>
  <c r="A59" i="9"/>
  <c r="A26" i="9"/>
  <c r="C38" i="10"/>
  <c r="C64" i="10"/>
  <c r="A60" i="10"/>
  <c r="C57" i="9"/>
  <c r="C30" i="9"/>
  <c r="C56" i="10"/>
  <c r="L35" i="8"/>
  <c r="O35" i="8" s="1"/>
  <c r="I35" i="8"/>
  <c r="C36" i="9"/>
  <c r="BF118" i="6"/>
  <c r="C31" i="9"/>
  <c r="A47" i="9"/>
  <c r="C24" i="10"/>
  <c r="K118" i="12"/>
  <c r="I47" i="8"/>
  <c r="L47" i="8"/>
  <c r="O47" i="8" s="1"/>
  <c r="C63" i="10"/>
  <c r="C28" i="10"/>
  <c r="C29" i="10"/>
  <c r="C56" i="9"/>
  <c r="A32" i="10"/>
  <c r="C1" i="10"/>
  <c r="A25" i="10"/>
  <c r="Z17" i="11"/>
  <c r="W17" i="11"/>
  <c r="L17" i="13"/>
  <c r="D17" i="13" s="1"/>
  <c r="C17" i="11"/>
  <c r="A1" i="10"/>
  <c r="A55" i="10"/>
  <c r="C31" i="10"/>
  <c r="C21" i="10"/>
  <c r="I17" i="8"/>
  <c r="L17" i="8"/>
  <c r="N17" i="8" s="1"/>
  <c r="AD118" i="6"/>
  <c r="AD15" i="6" s="1"/>
  <c r="S15" i="6" s="1"/>
  <c r="AF118" i="6"/>
  <c r="AF15" i="6" s="1"/>
  <c r="U15" i="6" s="1"/>
  <c r="C43" i="9"/>
  <c r="A46" i="10"/>
  <c r="A48" i="9"/>
  <c r="C50" i="9"/>
  <c r="C32" i="10"/>
  <c r="A38" i="10"/>
  <c r="C42" i="9"/>
  <c r="AO21" i="13"/>
  <c r="AL21" i="13"/>
  <c r="B21" i="13"/>
  <c r="AJ21" i="13" s="1"/>
  <c r="C34" i="9"/>
  <c r="C63" i="9"/>
  <c r="A30" i="9"/>
  <c r="U17" i="13"/>
  <c r="M17" i="13"/>
  <c r="O17" i="13"/>
  <c r="R17" i="13"/>
  <c r="T17" i="13"/>
  <c r="K17" i="13"/>
  <c r="S17" i="13"/>
  <c r="A62" i="10"/>
  <c r="C62" i="9"/>
  <c r="A31" i="10"/>
  <c r="I14" i="8"/>
  <c r="L14" i="8"/>
  <c r="C23" i="11"/>
  <c r="L23" i="13"/>
  <c r="D23" i="13" s="1"/>
  <c r="W23" i="11"/>
  <c r="Z23" i="11"/>
  <c r="AT118" i="6"/>
  <c r="AY118" i="6"/>
  <c r="BB118" i="6"/>
  <c r="C58" i="10"/>
  <c r="P62" i="8"/>
  <c r="R64" i="8"/>
  <c r="A25" i="9"/>
  <c r="A58" i="9"/>
  <c r="C35" i="10"/>
  <c r="B22" i="13"/>
  <c r="AM22" i="13" s="1"/>
  <c r="AL22" i="13"/>
  <c r="AO22" i="13"/>
  <c r="C23" i="10"/>
  <c r="C49" i="9"/>
  <c r="C64" i="9"/>
  <c r="W20" i="11"/>
  <c r="C20" i="11"/>
  <c r="Z20" i="11"/>
  <c r="L20" i="13"/>
  <c r="D20" i="13" s="1"/>
  <c r="C61" i="10"/>
  <c r="A42" i="9"/>
  <c r="C55" i="9"/>
  <c r="I29" i="8"/>
  <c r="L29" i="8"/>
  <c r="K23" i="13"/>
  <c r="R23" i="13"/>
  <c r="O23" i="13"/>
  <c r="U23" i="13"/>
  <c r="S23" i="13"/>
  <c r="M23" i="13"/>
  <c r="T23" i="13"/>
  <c r="C33" i="9"/>
  <c r="A28" i="9"/>
  <c r="G1" i="8"/>
  <c r="I2" i="8" s="1"/>
  <c r="G2" i="8"/>
  <c r="C58" i="9"/>
  <c r="L23" i="8"/>
  <c r="R25" i="8" s="1"/>
  <c r="I23" i="8"/>
  <c r="AA18" i="11"/>
  <c r="G18" i="11"/>
  <c r="F18" i="13" s="1"/>
  <c r="AB18" i="11"/>
  <c r="N18" i="11" s="1"/>
  <c r="C18" i="13"/>
  <c r="O18" i="11"/>
  <c r="K18" i="11"/>
  <c r="J18" i="13" s="1"/>
  <c r="A64" i="9"/>
  <c r="C38" i="9"/>
  <c r="A31" i="9"/>
  <c r="A29" i="9"/>
  <c r="C52" i="10"/>
  <c r="C27" i="10"/>
  <c r="I50" i="8"/>
  <c r="L50" i="8"/>
  <c r="R52" i="8" s="1"/>
  <c r="A17" i="9"/>
  <c r="C44" i="10"/>
  <c r="A30" i="10"/>
  <c r="A1" i="9"/>
  <c r="A18" i="9"/>
  <c r="A32" i="9"/>
  <c r="AL12" i="13"/>
  <c r="B12" i="13"/>
  <c r="AJ12" i="13" s="1"/>
  <c r="AO12" i="13"/>
  <c r="A22" i="10"/>
  <c r="C40" i="9"/>
  <c r="C46" i="9"/>
  <c r="A27" i="9"/>
  <c r="A61" i="9"/>
  <c r="C53" i="10"/>
  <c r="A44" i="9"/>
  <c r="D113" i="5"/>
  <c r="B113" i="12" s="1"/>
  <c r="I65" i="8"/>
  <c r="L65" i="8"/>
  <c r="M59" i="8" s="1"/>
  <c r="L56" i="8"/>
  <c r="I56" i="8"/>
  <c r="AS118" i="6"/>
  <c r="C59" i="10"/>
  <c r="A51" i="9"/>
  <c r="A39" i="10"/>
  <c r="F1" i="8"/>
  <c r="A50" i="10"/>
  <c r="N59" i="8"/>
  <c r="C25" i="10"/>
  <c r="AO18" i="13"/>
  <c r="B18" i="13"/>
  <c r="AK18" i="13" s="1"/>
  <c r="AL18" i="13"/>
  <c r="B20" i="13"/>
  <c r="AJ20" i="13" s="1"/>
  <c r="AL20" i="13"/>
  <c r="AO20" i="13"/>
  <c r="C47" i="9"/>
  <c r="C16" i="10"/>
  <c r="A63" i="10"/>
  <c r="A35" i="9"/>
  <c r="T20" i="13"/>
  <c r="S20" i="13"/>
  <c r="O20" i="13"/>
  <c r="R20" i="13"/>
  <c r="M20" i="13"/>
  <c r="U20" i="13"/>
  <c r="K20" i="13"/>
  <c r="A19" i="9"/>
  <c r="C43" i="10"/>
  <c r="C51" i="9"/>
  <c r="C61" i="9"/>
  <c r="L44" i="8"/>
  <c r="O44" i="8" s="1"/>
  <c r="I44" i="8"/>
  <c r="C42" i="10"/>
  <c r="AM118" i="6"/>
  <c r="BA118" i="6"/>
  <c r="AB118" i="6"/>
  <c r="C17" i="9"/>
  <c r="C37" i="9"/>
  <c r="A16" i="10"/>
  <c r="C22" i="10"/>
  <c r="R3" i="8"/>
  <c r="Q1" i="8"/>
  <c r="A20" i="10"/>
  <c r="C57" i="10"/>
  <c r="C21" i="9"/>
  <c r="C52" i="9"/>
  <c r="A24" i="10"/>
  <c r="A37" i="9"/>
  <c r="C30" i="10"/>
  <c r="C46" i="10"/>
  <c r="A46" i="9"/>
  <c r="C19" i="10"/>
  <c r="A36" i="9"/>
  <c r="I32" i="8"/>
  <c r="L32" i="8"/>
  <c r="R34" i="8" s="1"/>
  <c r="AG118" i="6"/>
  <c r="A54" i="10"/>
  <c r="C1" i="9"/>
  <c r="A40" i="10"/>
  <c r="A40" i="9"/>
  <c r="A45" i="9"/>
  <c r="A56" i="9"/>
  <c r="C40" i="10"/>
  <c r="A44" i="10"/>
  <c r="C60" i="10"/>
  <c r="A43" i="9"/>
  <c r="C50" i="10"/>
  <c r="C28" i="9"/>
  <c r="C45" i="10"/>
  <c r="A37" i="10"/>
  <c r="A23" i="9"/>
  <c r="C41" i="9"/>
  <c r="A43" i="10"/>
  <c r="A55" i="9"/>
  <c r="C32" i="9"/>
  <c r="C48" i="9"/>
  <c r="C16" i="9"/>
  <c r="C35" i="9"/>
  <c r="A58" i="10"/>
  <c r="A21" i="9"/>
  <c r="C55" i="10"/>
  <c r="C18" i="10"/>
  <c r="C39" i="9"/>
  <c r="C22" i="9"/>
  <c r="C27" i="9"/>
  <c r="A59" i="10"/>
  <c r="A39" i="9"/>
  <c r="R61" i="8"/>
  <c r="A53" i="10"/>
  <c r="G12" i="11"/>
  <c r="F12" i="13" s="1"/>
  <c r="AA12" i="11"/>
  <c r="C12" i="13"/>
  <c r="AB12" i="11"/>
  <c r="N12" i="11" s="1"/>
  <c r="K12" i="11"/>
  <c r="J12" i="13" s="1"/>
  <c r="O12" i="11"/>
  <c r="K22" i="11"/>
  <c r="J22" i="13" s="1"/>
  <c r="AB22" i="11"/>
  <c r="N22" i="11" s="1"/>
  <c r="C22" i="13"/>
  <c r="AA22" i="11"/>
  <c r="O22" i="11"/>
  <c r="G22" i="11"/>
  <c r="F22" i="13" s="1"/>
  <c r="N20" i="8"/>
  <c r="C20" i="10"/>
  <c r="C59" i="9"/>
  <c r="C33" i="10"/>
  <c r="C26" i="10"/>
  <c r="C47" i="10"/>
  <c r="C20" i="9"/>
  <c r="B87" i="12" l="1"/>
  <c r="AH15" i="6"/>
  <c r="W15" i="6" s="1"/>
  <c r="R40" i="8"/>
  <c r="P38" i="8"/>
  <c r="N38" i="8"/>
  <c r="AC15" i="6"/>
  <c r="R15" i="6" s="1"/>
  <c r="AB15" i="6"/>
  <c r="Q15" i="6" s="1"/>
  <c r="AE15" i="6"/>
  <c r="T15" i="6" s="1"/>
  <c r="AG15" i="6"/>
  <c r="V15" i="6" s="1"/>
  <c r="AK23" i="13"/>
  <c r="AI15" i="6"/>
  <c r="X15" i="6" s="1"/>
  <c r="AN23" i="13"/>
  <c r="AK15" i="6"/>
  <c r="Z15" i="6" s="1"/>
  <c r="AK17" i="13"/>
  <c r="AJ15" i="6"/>
  <c r="Y15" i="6" s="1"/>
  <c r="AJ17" i="13"/>
  <c r="N65" i="8"/>
  <c r="AM21" i="13"/>
  <c r="AM12" i="13"/>
  <c r="AK21" i="13"/>
  <c r="N32" i="8"/>
  <c r="M20" i="8"/>
  <c r="Q20" i="8" s="1"/>
  <c r="E22" i="8" s="1"/>
  <c r="O32" i="8"/>
  <c r="P32" i="8"/>
  <c r="M32" i="8"/>
  <c r="Q32" i="8" s="1"/>
  <c r="E34" i="8" s="1"/>
  <c r="P65" i="8"/>
  <c r="AN21" i="13"/>
  <c r="O65" i="8"/>
  <c r="M65" i="8"/>
  <c r="Q65" i="8" s="1"/>
  <c r="AN20" i="13"/>
  <c r="AK20" i="13"/>
  <c r="N35" i="8"/>
  <c r="O53" i="8"/>
  <c r="AM17" i="13"/>
  <c r="AK19" i="13"/>
  <c r="N29" i="8"/>
  <c r="AN22" i="13"/>
  <c r="O17" i="8"/>
  <c r="M44" i="8"/>
  <c r="N44" i="8"/>
  <c r="N26" i="8"/>
  <c r="P23" i="8"/>
  <c r="M14" i="8"/>
  <c r="Q14" i="8" s="1"/>
  <c r="C14" i="8" s="1"/>
  <c r="N23" i="8"/>
  <c r="Q59" i="8"/>
  <c r="X59" i="8" s="1"/>
  <c r="O23" i="8"/>
  <c r="AN19" i="13"/>
  <c r="AM23" i="13"/>
  <c r="O56" i="8"/>
  <c r="R58" i="8"/>
  <c r="AM19" i="13"/>
  <c r="O41" i="8"/>
  <c r="R43" i="8"/>
  <c r="N23" i="13"/>
  <c r="P23" i="13"/>
  <c r="M35" i="8"/>
  <c r="N47" i="8"/>
  <c r="K22" i="13"/>
  <c r="U22" i="13"/>
  <c r="S22" i="13"/>
  <c r="R22" i="13"/>
  <c r="O22" i="13"/>
  <c r="M22" i="13"/>
  <c r="T22" i="13"/>
  <c r="N20" i="13"/>
  <c r="P20" i="13"/>
  <c r="M47" i="8"/>
  <c r="M53" i="8"/>
  <c r="M26" i="8"/>
  <c r="L12" i="13"/>
  <c r="Z12" i="11"/>
  <c r="W12" i="11"/>
  <c r="C12" i="11"/>
  <c r="AC1" i="8"/>
  <c r="AB1" i="8"/>
  <c r="AE3" i="8"/>
  <c r="AE1" i="8"/>
  <c r="U3" i="8"/>
  <c r="AB3" i="8"/>
  <c r="AA1" i="8"/>
  <c r="X3" i="8"/>
  <c r="X1" i="8"/>
  <c r="W3" i="8"/>
  <c r="D3" i="8"/>
  <c r="T1" i="8"/>
  <c r="U1" i="8"/>
  <c r="D1" i="8"/>
  <c r="AA3" i="8"/>
  <c r="Z1" i="8"/>
  <c r="AC3" i="8"/>
  <c r="W1" i="8"/>
  <c r="T3" i="8"/>
  <c r="V1" i="8"/>
  <c r="Z3" i="8"/>
  <c r="C1" i="8"/>
  <c r="Y3" i="8"/>
  <c r="AD3" i="8"/>
  <c r="Y1" i="8"/>
  <c r="B1" i="8"/>
  <c r="E3" i="8"/>
  <c r="AD1" i="8"/>
  <c r="V3" i="8"/>
  <c r="AM18" i="13"/>
  <c r="AN12" i="13"/>
  <c r="M50" i="8"/>
  <c r="Q50" i="8" s="1"/>
  <c r="P29" i="8"/>
  <c r="M17" i="8"/>
  <c r="Q17" i="8" s="1"/>
  <c r="N53" i="8"/>
  <c r="P26" i="8"/>
  <c r="L22" i="13"/>
  <c r="D22" i="13" s="1"/>
  <c r="C22" i="11"/>
  <c r="Z22" i="11"/>
  <c r="W22" i="11"/>
  <c r="AN18" i="13"/>
  <c r="R67" i="8"/>
  <c r="N62" i="8"/>
  <c r="M62" i="8"/>
  <c r="AK12" i="13"/>
  <c r="O50" i="8"/>
  <c r="L18" i="13"/>
  <c r="D18" i="13" s="1"/>
  <c r="Z18" i="11"/>
  <c r="W18" i="11"/>
  <c r="C18" i="11"/>
  <c r="P17" i="8"/>
  <c r="P47" i="8"/>
  <c r="R49" i="8"/>
  <c r="P35" i="8"/>
  <c r="R37" i="8"/>
  <c r="P44" i="8"/>
  <c r="R46" i="8"/>
  <c r="AJ18" i="13"/>
  <c r="P50" i="8"/>
  <c r="T18" i="13"/>
  <c r="R18" i="13"/>
  <c r="S18" i="13"/>
  <c r="M18" i="13"/>
  <c r="O18" i="13"/>
  <c r="K18" i="13"/>
  <c r="U18" i="13"/>
  <c r="M29" i="8"/>
  <c r="O14" i="8"/>
  <c r="N17" i="13"/>
  <c r="P17" i="13"/>
  <c r="K21" i="13"/>
  <c r="O21" i="13"/>
  <c r="M21" i="13"/>
  <c r="T21" i="13"/>
  <c r="U21" i="13"/>
  <c r="R21" i="13"/>
  <c r="S21" i="13"/>
  <c r="M12" i="13"/>
  <c r="O12" i="13"/>
  <c r="S12" i="13"/>
  <c r="U12" i="13"/>
  <c r="T12" i="13"/>
  <c r="R12" i="13"/>
  <c r="K12" i="13"/>
  <c r="N50" i="8"/>
  <c r="O29" i="8"/>
  <c r="R31" i="8"/>
  <c r="N14" i="8"/>
  <c r="O26" i="8"/>
  <c r="R28" i="8"/>
  <c r="N56" i="8"/>
  <c r="R19" i="8"/>
  <c r="R55" i="8"/>
  <c r="C21" i="11"/>
  <c r="L21" i="13"/>
  <c r="D21" i="13" s="1"/>
  <c r="W21" i="11"/>
  <c r="Z21" i="11"/>
  <c r="S19" i="13"/>
  <c r="O19" i="13"/>
  <c r="R19" i="13"/>
  <c r="T19" i="13"/>
  <c r="U19" i="13"/>
  <c r="M19" i="13"/>
  <c r="K19" i="13"/>
  <c r="D15" i="5"/>
  <c r="P56" i="8"/>
  <c r="AK22" i="13"/>
  <c r="P14" i="8"/>
  <c r="R16" i="8"/>
  <c r="C19" i="11"/>
  <c r="Z19" i="11"/>
  <c r="L19" i="13"/>
  <c r="D19" i="13" s="1"/>
  <c r="W19" i="11"/>
  <c r="P41" i="8"/>
  <c r="AM20" i="13"/>
  <c r="M56" i="8"/>
  <c r="M23" i="8"/>
  <c r="AJ22" i="13"/>
  <c r="N41" i="8"/>
  <c r="M41" i="8"/>
  <c r="M38" i="8"/>
  <c r="Q38" i="8" s="1"/>
  <c r="Q26" i="8" l="1"/>
  <c r="Q23" i="8"/>
  <c r="Q53" i="8"/>
  <c r="W53" i="8" s="1"/>
  <c r="Q29" i="8"/>
  <c r="AA59" i="8"/>
  <c r="C32" i="8"/>
  <c r="B32" i="8"/>
  <c r="Q35" i="8"/>
  <c r="Y35" i="8" s="1"/>
  <c r="AB20" i="8"/>
  <c r="Y20" i="8"/>
  <c r="Z20" i="8"/>
  <c r="AB59" i="8"/>
  <c r="AA20" i="8"/>
  <c r="D20" i="8"/>
  <c r="AC59" i="8"/>
  <c r="T20" i="8"/>
  <c r="D59" i="8"/>
  <c r="Q47" i="8"/>
  <c r="AA47" i="8" s="1"/>
  <c r="AC20" i="8"/>
  <c r="V59" i="8"/>
  <c r="U20" i="8"/>
  <c r="AE59" i="8"/>
  <c r="Q41" i="8"/>
  <c r="AA41" i="8" s="1"/>
  <c r="AE20" i="8"/>
  <c r="E61" i="8"/>
  <c r="W20" i="8"/>
  <c r="Q56" i="8"/>
  <c r="AB56" i="8" s="1"/>
  <c r="AD59" i="8"/>
  <c r="Z59" i="8"/>
  <c r="T59" i="8"/>
  <c r="Y59" i="8"/>
  <c r="W59" i="8"/>
  <c r="AD20" i="8"/>
  <c r="X20" i="8"/>
  <c r="U59" i="8"/>
  <c r="V20" i="8"/>
  <c r="E16" i="8"/>
  <c r="Q44" i="8"/>
  <c r="B14" i="8"/>
  <c r="E28" i="8"/>
  <c r="AD26" i="8"/>
  <c r="AB26" i="8"/>
  <c r="Z26" i="8"/>
  <c r="W26" i="8"/>
  <c r="D26" i="8"/>
  <c r="AA26" i="8"/>
  <c r="AE26" i="8"/>
  <c r="Y26" i="8"/>
  <c r="V26" i="8"/>
  <c r="AC26" i="8"/>
  <c r="X26" i="8"/>
  <c r="T26" i="8"/>
  <c r="U26" i="8"/>
  <c r="Q62" i="8"/>
  <c r="V12" i="13"/>
  <c r="D12" i="13"/>
  <c r="B50" i="8"/>
  <c r="E52" i="8"/>
  <c r="C50" i="8"/>
  <c r="AB65" i="8"/>
  <c r="X65" i="8"/>
  <c r="AC65" i="8"/>
  <c r="V65" i="8"/>
  <c r="AA65" i="8"/>
  <c r="AD65" i="8"/>
  <c r="T65" i="8"/>
  <c r="Y65" i="8"/>
  <c r="D65" i="8"/>
  <c r="AE65" i="8"/>
  <c r="U65" i="8"/>
  <c r="W65" i="8"/>
  <c r="Z65" i="8"/>
  <c r="E67" i="8"/>
  <c r="V38" i="8"/>
  <c r="AC38" i="8"/>
  <c r="AE38" i="8"/>
  <c r="Z38" i="8"/>
  <c r="Y38" i="8"/>
  <c r="X38" i="8"/>
  <c r="E40" i="8"/>
  <c r="T38" i="8"/>
  <c r="AA38" i="8"/>
  <c r="U38" i="8"/>
  <c r="AD38" i="8"/>
  <c r="AB38" i="8"/>
  <c r="W38" i="8"/>
  <c r="D38" i="8"/>
  <c r="P18" i="13"/>
  <c r="N18" i="13"/>
  <c r="T23" i="8"/>
  <c r="W23" i="8"/>
  <c r="AD23" i="8"/>
  <c r="E25" i="8"/>
  <c r="AC23" i="8"/>
  <c r="AA23" i="8"/>
  <c r="V23" i="8"/>
  <c r="X23" i="8"/>
  <c r="U23" i="8"/>
  <c r="D23" i="8"/>
  <c r="Z23" i="8"/>
  <c r="AE23" i="8"/>
  <c r="AB23" i="8"/>
  <c r="Y23" i="8"/>
  <c r="Z53" i="8"/>
  <c r="E55" i="8"/>
  <c r="X53" i="8"/>
  <c r="D53" i="8"/>
  <c r="N21" i="13"/>
  <c r="P21" i="13"/>
  <c r="V17" i="8"/>
  <c r="Y17" i="8"/>
  <c r="X17" i="8"/>
  <c r="AB17" i="8"/>
  <c r="D17" i="8"/>
  <c r="AE17" i="8"/>
  <c r="AC17" i="8"/>
  <c r="AA17" i="8"/>
  <c r="AD17" i="8"/>
  <c r="T17" i="8"/>
  <c r="W17" i="8"/>
  <c r="E19" i="8"/>
  <c r="Z17" i="8"/>
  <c r="U17" i="8"/>
  <c r="N22" i="13"/>
  <c r="P22" i="13"/>
  <c r="U47" i="8"/>
  <c r="W29" i="8"/>
  <c r="U29" i="8"/>
  <c r="T29" i="8"/>
  <c r="Z29" i="8"/>
  <c r="D29" i="8"/>
  <c r="AE29" i="8"/>
  <c r="V29" i="8"/>
  <c r="AD29" i="8"/>
  <c r="AB29" i="8"/>
  <c r="X29" i="8"/>
  <c r="AC29" i="8"/>
  <c r="Y29" i="8"/>
  <c r="E31" i="8"/>
  <c r="AA29" i="8"/>
  <c r="P19" i="13"/>
  <c r="N19" i="13"/>
  <c r="N12" i="13"/>
  <c r="P12" i="13"/>
  <c r="AC35" i="8" l="1"/>
  <c r="W35" i="8"/>
  <c r="X35" i="8"/>
  <c r="Z35" i="8"/>
  <c r="AE35" i="8"/>
  <c r="AA35" i="8"/>
  <c r="V35" i="8"/>
  <c r="E37" i="8"/>
  <c r="W47" i="8"/>
  <c r="U35" i="8"/>
  <c r="AD35" i="8"/>
  <c r="T35" i="8"/>
  <c r="D35" i="8"/>
  <c r="AB35" i="8"/>
  <c r="AD53" i="8"/>
  <c r="AE53" i="8"/>
  <c r="AC53" i="8"/>
  <c r="V53" i="8"/>
  <c r="Y53" i="8"/>
  <c r="U53" i="8"/>
  <c r="AB53" i="8"/>
  <c r="T53" i="8"/>
  <c r="AA53" i="8"/>
  <c r="AE56" i="8"/>
  <c r="T41" i="8"/>
  <c r="U41" i="8"/>
  <c r="AD41" i="8"/>
  <c r="X41" i="8"/>
  <c r="Z41" i="8"/>
  <c r="V41" i="8"/>
  <c r="AC41" i="8"/>
  <c r="Y41" i="8"/>
  <c r="AE41" i="8"/>
  <c r="D41" i="8"/>
  <c r="D56" i="8"/>
  <c r="E43" i="8"/>
  <c r="Y56" i="8"/>
  <c r="W56" i="8"/>
  <c r="X56" i="8"/>
  <c r="AA56" i="8"/>
  <c r="W41" i="8"/>
  <c r="E58" i="8"/>
  <c r="AB41" i="8"/>
  <c r="AE47" i="8"/>
  <c r="AB47" i="8"/>
  <c r="Y47" i="8"/>
  <c r="D47" i="8"/>
  <c r="T47" i="8"/>
  <c r="V47" i="8"/>
  <c r="AD47" i="8"/>
  <c r="Z47" i="8"/>
  <c r="AC47" i="8"/>
  <c r="U56" i="8"/>
  <c r="X47" i="8"/>
  <c r="E49" i="8"/>
  <c r="AC56" i="8"/>
  <c r="T56" i="8"/>
  <c r="Z56" i="8"/>
  <c r="V56" i="8"/>
  <c r="AD56" i="8"/>
  <c r="AC44" i="8"/>
  <c r="D44" i="8"/>
  <c r="Z44" i="8"/>
  <c r="Y44" i="8"/>
  <c r="V44" i="8"/>
  <c r="AB44" i="8"/>
  <c r="U44" i="8"/>
  <c r="AE44" i="8"/>
  <c r="E46" i="8"/>
  <c r="AA44" i="8"/>
  <c r="T44" i="8"/>
  <c r="AD44" i="8"/>
  <c r="X44" i="8"/>
  <c r="W44" i="8"/>
  <c r="Y62" i="8"/>
  <c r="D62" i="8"/>
  <c r="Z62" i="8"/>
  <c r="E64" i="8"/>
  <c r="AC62" i="8"/>
  <c r="T62" i="8"/>
  <c r="AB62" i="8"/>
  <c r="U62" i="8"/>
  <c r="AE62" i="8"/>
  <c r="AD62" i="8"/>
  <c r="W62" i="8"/>
  <c r="V62" i="8"/>
  <c r="AA62" i="8"/>
  <c r="X62" i="8"/>
  <c r="I25" i="5" l="1"/>
  <c r="AF25" i="5" l="1"/>
  <c r="AF34" i="5"/>
  <c r="S34" i="5" l="1"/>
  <c r="AG34" i="5"/>
  <c r="U34" i="5" s="1"/>
  <c r="AN34" i="5" s="1"/>
  <c r="S25" i="5"/>
  <c r="AG25" i="5"/>
  <c r="U25" i="5" s="1"/>
  <c r="AN25" i="5" s="1"/>
  <c r="AF71" i="5" l="1"/>
  <c r="AF103" i="5"/>
  <c r="AF33" i="5"/>
  <c r="S33" i="5" l="1"/>
  <c r="AF54" i="5"/>
  <c r="AF44" i="5"/>
  <c r="AF72" i="5"/>
  <c r="AF98" i="5"/>
  <c r="AF118" i="5"/>
  <c r="AF26" i="5"/>
  <c r="AF37" i="5"/>
  <c r="AF31" i="5"/>
  <c r="AF116" i="5"/>
  <c r="AF105" i="5"/>
  <c r="AF115" i="5"/>
  <c r="AF81" i="5"/>
  <c r="AF91" i="5"/>
  <c r="AF27" i="5"/>
  <c r="AF70" i="5"/>
  <c r="AF38" i="5"/>
  <c r="AF61" i="5"/>
  <c r="AF109" i="5"/>
  <c r="AF57" i="5"/>
  <c r="AF45" i="5"/>
  <c r="AF97" i="5"/>
  <c r="AF35" i="5"/>
  <c r="AF42" i="5"/>
  <c r="AF84" i="5"/>
  <c r="AF112" i="5"/>
  <c r="AF75" i="5"/>
  <c r="AF89" i="5"/>
  <c r="AF94" i="5"/>
  <c r="AF39" i="5"/>
  <c r="AF30" i="5"/>
  <c r="AF107" i="5"/>
  <c r="AF117" i="5"/>
  <c r="AF68" i="5"/>
  <c r="AF100" i="5"/>
  <c r="AF102" i="5"/>
  <c r="AF29" i="5"/>
  <c r="AF40" i="5"/>
  <c r="AF69" i="5"/>
  <c r="AF108" i="5"/>
  <c r="AF78" i="5"/>
  <c r="AF85" i="5"/>
  <c r="AF47" i="5"/>
  <c r="AF28" i="5"/>
  <c r="AF101" i="5"/>
  <c r="AF49" i="5"/>
  <c r="AF67" i="5"/>
  <c r="AF111" i="5"/>
  <c r="AF114" i="5"/>
  <c r="AF41" i="5"/>
  <c r="AF74" i="5"/>
  <c r="AF95" i="5"/>
  <c r="AF58" i="5"/>
  <c r="AF80" i="5"/>
  <c r="AF106" i="5"/>
  <c r="AF24" i="5"/>
  <c r="AF86" i="5"/>
  <c r="AF59" i="5"/>
  <c r="AF93" i="5"/>
  <c r="AF48" i="5"/>
  <c r="AF51" i="5"/>
  <c r="AF76" i="5"/>
  <c r="AF23" i="5"/>
  <c r="AF79" i="5"/>
  <c r="AF50" i="5"/>
  <c r="AF53" i="5"/>
  <c r="AF65" i="5"/>
  <c r="AF62" i="5"/>
  <c r="AF83" i="5"/>
  <c r="AF32" i="5"/>
  <c r="AF43" i="5"/>
  <c r="AF52" i="5"/>
  <c r="AF66" i="5"/>
  <c r="AF110" i="5"/>
  <c r="AF77" i="5"/>
  <c r="AF90" i="5"/>
  <c r="AF99" i="5"/>
  <c r="AF36" i="5"/>
  <c r="AF63" i="5"/>
  <c r="AF14" i="5"/>
  <c r="AF17" i="5"/>
  <c r="AF19" i="5"/>
  <c r="AF16" i="5"/>
  <c r="AF18" i="5"/>
  <c r="S103" i="5"/>
  <c r="S71" i="5"/>
  <c r="AF22" i="5"/>
  <c r="AF21" i="5"/>
  <c r="AF20" i="5"/>
  <c r="S21" i="5" l="1"/>
  <c r="AG21" i="5"/>
  <c r="U21" i="5" s="1"/>
  <c r="AN21" i="5" s="1"/>
  <c r="G71" i="6"/>
  <c r="G103" i="6"/>
  <c r="AG16" i="5"/>
  <c r="S16" i="5"/>
  <c r="S17" i="5"/>
  <c r="AG17" i="5"/>
  <c r="AG14" i="5"/>
  <c r="S14" i="5"/>
  <c r="G14" i="6" s="1"/>
  <c r="R14" i="5"/>
  <c r="G33" i="6"/>
  <c r="S20" i="5"/>
  <c r="AG18" i="5"/>
  <c r="R63" i="5"/>
  <c r="R77" i="5"/>
  <c r="AG43" i="5"/>
  <c r="AG65" i="5"/>
  <c r="R51" i="5"/>
  <c r="R86" i="5"/>
  <c r="AG58" i="5"/>
  <c r="S114" i="5"/>
  <c r="R85" i="5"/>
  <c r="R40" i="5"/>
  <c r="S68" i="5"/>
  <c r="R39" i="5"/>
  <c r="S112" i="5"/>
  <c r="S97" i="5"/>
  <c r="R61" i="5"/>
  <c r="R91" i="5"/>
  <c r="R116" i="5"/>
  <c r="S118" i="5"/>
  <c r="S54" i="5"/>
  <c r="R20" i="5"/>
  <c r="S63" i="5"/>
  <c r="S77" i="5"/>
  <c r="R43" i="5"/>
  <c r="R65" i="5"/>
  <c r="S51" i="5"/>
  <c r="S86" i="5"/>
  <c r="S58" i="5"/>
  <c r="R114" i="5"/>
  <c r="AG85" i="5"/>
  <c r="S40" i="5"/>
  <c r="R68" i="5"/>
  <c r="AG39" i="5"/>
  <c r="R112" i="5"/>
  <c r="AG97" i="5"/>
  <c r="AG61" i="5"/>
  <c r="AG116" i="5"/>
  <c r="AG118" i="5"/>
  <c r="AG54" i="5"/>
  <c r="AG36" i="5"/>
  <c r="AG110" i="5"/>
  <c r="S32" i="5"/>
  <c r="S53" i="5"/>
  <c r="R23" i="5"/>
  <c r="AG48" i="5"/>
  <c r="S24" i="5"/>
  <c r="R95" i="5"/>
  <c r="S111" i="5"/>
  <c r="S101" i="5"/>
  <c r="AG78" i="5"/>
  <c r="S29" i="5"/>
  <c r="R117" i="5"/>
  <c r="AG94" i="5"/>
  <c r="S84" i="5"/>
  <c r="R45" i="5"/>
  <c r="S38" i="5"/>
  <c r="R81" i="5"/>
  <c r="S31" i="5"/>
  <c r="AG98" i="5"/>
  <c r="S19" i="5"/>
  <c r="R36" i="5"/>
  <c r="S110" i="5"/>
  <c r="R32" i="5"/>
  <c r="AG53" i="5"/>
  <c r="S23" i="5"/>
  <c r="S48" i="5"/>
  <c r="AG24" i="5"/>
  <c r="S95" i="5"/>
  <c r="AG111" i="5"/>
  <c r="R101" i="5"/>
  <c r="S78" i="5"/>
  <c r="AG29" i="5"/>
  <c r="AG117" i="5"/>
  <c r="S94" i="5"/>
  <c r="AG84" i="5"/>
  <c r="AG45" i="5"/>
  <c r="R38" i="5"/>
  <c r="S81" i="5"/>
  <c r="R31" i="5"/>
  <c r="S98" i="5"/>
  <c r="AG19" i="5"/>
  <c r="S36" i="5"/>
  <c r="R110" i="5"/>
  <c r="R53" i="5"/>
  <c r="AG23" i="5"/>
  <c r="R48" i="5"/>
  <c r="R24" i="5"/>
  <c r="AG95" i="5"/>
  <c r="R111" i="5"/>
  <c r="R78" i="5"/>
  <c r="R29" i="5"/>
  <c r="S117" i="5"/>
  <c r="R94" i="5"/>
  <c r="R84" i="5"/>
  <c r="S45" i="5"/>
  <c r="AG81" i="5"/>
  <c r="R98" i="5"/>
  <c r="R22" i="5"/>
  <c r="R19" i="5"/>
  <c r="R99" i="5"/>
  <c r="S66" i="5"/>
  <c r="S83" i="5"/>
  <c r="S50" i="5"/>
  <c r="S93" i="5"/>
  <c r="S106" i="5"/>
  <c r="S74" i="5"/>
  <c r="AG67" i="5"/>
  <c r="R28" i="5"/>
  <c r="S108" i="5"/>
  <c r="S102" i="5"/>
  <c r="AG107" i="5"/>
  <c r="S89" i="5"/>
  <c r="R42" i="5"/>
  <c r="R57" i="5"/>
  <c r="S70" i="5"/>
  <c r="AG115" i="5"/>
  <c r="S37" i="5"/>
  <c r="AG72" i="5"/>
  <c r="S22" i="5"/>
  <c r="AG99" i="5"/>
  <c r="R66" i="5"/>
  <c r="AG83" i="5"/>
  <c r="R50" i="5"/>
  <c r="R93" i="5"/>
  <c r="R106" i="5"/>
  <c r="R74" i="5"/>
  <c r="S67" i="5"/>
  <c r="AG28" i="5"/>
  <c r="R108" i="5"/>
  <c r="R102" i="5"/>
  <c r="R107" i="5"/>
  <c r="R89" i="5"/>
  <c r="AG42" i="5"/>
  <c r="S57" i="5"/>
  <c r="R70" i="5"/>
  <c r="R115" i="5"/>
  <c r="R37" i="5"/>
  <c r="S72" i="5"/>
  <c r="R103" i="5"/>
  <c r="R33" i="5"/>
  <c r="R71" i="5"/>
  <c r="AG22" i="5"/>
  <c r="S99" i="5"/>
  <c r="R83" i="5"/>
  <c r="AG50" i="5"/>
  <c r="AG93" i="5"/>
  <c r="AG106" i="5"/>
  <c r="R67" i="5"/>
  <c r="S28" i="5"/>
  <c r="AG108" i="5"/>
  <c r="S107" i="5"/>
  <c r="AG89" i="5"/>
  <c r="S42" i="5"/>
  <c r="AG57" i="5"/>
  <c r="S115" i="5"/>
  <c r="AG37" i="5"/>
  <c r="R72" i="5"/>
  <c r="AG90" i="5"/>
  <c r="AG52" i="5"/>
  <c r="AG62" i="5"/>
  <c r="AG79" i="5"/>
  <c r="R76" i="5"/>
  <c r="S59" i="5"/>
  <c r="S80" i="5"/>
  <c r="AG41" i="5"/>
  <c r="AG49" i="5"/>
  <c r="S47" i="5"/>
  <c r="AG69" i="5"/>
  <c r="S100" i="5"/>
  <c r="S30" i="5"/>
  <c r="AG75" i="5"/>
  <c r="AG35" i="5"/>
  <c r="R109" i="5"/>
  <c r="S27" i="5"/>
  <c r="S105" i="5"/>
  <c r="R26" i="5"/>
  <c r="S44" i="5"/>
  <c r="S90" i="5"/>
  <c r="S52" i="5"/>
  <c r="R62" i="5"/>
  <c r="S79" i="5"/>
  <c r="AG76" i="5"/>
  <c r="R59" i="5"/>
  <c r="AG80" i="5"/>
  <c r="R41" i="5"/>
  <c r="S49" i="5"/>
  <c r="R47" i="5"/>
  <c r="S69" i="5"/>
  <c r="R100" i="5"/>
  <c r="R30" i="5"/>
  <c r="S75" i="5"/>
  <c r="R35" i="5"/>
  <c r="AG109" i="5"/>
  <c r="R27" i="5"/>
  <c r="R105" i="5"/>
  <c r="S26" i="5"/>
  <c r="AG44" i="5"/>
  <c r="S18" i="5"/>
  <c r="R90" i="5"/>
  <c r="R52" i="5"/>
  <c r="S62" i="5"/>
  <c r="R79" i="5"/>
  <c r="S76" i="5"/>
  <c r="R80" i="5"/>
  <c r="S41" i="5"/>
  <c r="R49" i="5"/>
  <c r="AG47" i="5"/>
  <c r="R69" i="5"/>
  <c r="AG100" i="5"/>
  <c r="AG30" i="5"/>
  <c r="R75" i="5"/>
  <c r="S35" i="5"/>
  <c r="S109" i="5"/>
  <c r="AG26" i="5"/>
  <c r="R44" i="5"/>
  <c r="R18" i="5"/>
  <c r="AG63" i="5"/>
  <c r="AG77" i="5"/>
  <c r="S43" i="5"/>
  <c r="S65" i="5"/>
  <c r="AG51" i="5"/>
  <c r="AG86" i="5"/>
  <c r="R58" i="5"/>
  <c r="AG114" i="5"/>
  <c r="S85" i="5"/>
  <c r="AG40" i="5"/>
  <c r="AG68" i="5"/>
  <c r="S39" i="5"/>
  <c r="AG112" i="5"/>
  <c r="R97" i="5"/>
  <c r="S61" i="5"/>
  <c r="S91" i="5"/>
  <c r="S116" i="5"/>
  <c r="R118" i="5"/>
  <c r="R54" i="5"/>
  <c r="E54" i="12" l="1"/>
  <c r="F54" i="6"/>
  <c r="F118" i="6"/>
  <c r="E118" i="12"/>
  <c r="G116" i="6"/>
  <c r="G91" i="6"/>
  <c r="G61" i="6"/>
  <c r="E97" i="12"/>
  <c r="F97" i="6"/>
  <c r="U112" i="5"/>
  <c r="G39" i="6"/>
  <c r="U68" i="5"/>
  <c r="U40" i="5"/>
  <c r="G85" i="6"/>
  <c r="U114" i="5"/>
  <c r="E58" i="12"/>
  <c r="F58" i="6"/>
  <c r="U86" i="5"/>
  <c r="U51" i="5"/>
  <c r="G65" i="6"/>
  <c r="G43" i="6"/>
  <c r="U77" i="5"/>
  <c r="U63" i="5"/>
  <c r="F18" i="6"/>
  <c r="E18" i="12"/>
  <c r="E44" i="12"/>
  <c r="F44" i="6"/>
  <c r="U26" i="5"/>
  <c r="G109" i="6"/>
  <c r="G35" i="6"/>
  <c r="E75" i="12"/>
  <c r="F75" i="6"/>
  <c r="U30" i="5"/>
  <c r="U100" i="5"/>
  <c r="F69" i="6"/>
  <c r="E69" i="12"/>
  <c r="U47" i="5"/>
  <c r="E49" i="12"/>
  <c r="F49" i="6"/>
  <c r="N54" i="6" s="1"/>
  <c r="G41" i="6"/>
  <c r="F80" i="6"/>
  <c r="E80" i="12"/>
  <c r="G76" i="6"/>
  <c r="F79" i="6"/>
  <c r="E79" i="12"/>
  <c r="G62" i="6"/>
  <c r="F52" i="6"/>
  <c r="E52" i="12"/>
  <c r="E90" i="12"/>
  <c r="F90" i="6"/>
  <c r="G18" i="6"/>
  <c r="U44" i="5"/>
  <c r="G26" i="6"/>
  <c r="F105" i="6"/>
  <c r="E105" i="12"/>
  <c r="E27" i="12"/>
  <c r="F27" i="6"/>
  <c r="U109" i="5"/>
  <c r="E35" i="12"/>
  <c r="F35" i="6"/>
  <c r="G75" i="6"/>
  <c r="E30" i="12"/>
  <c r="F30" i="6"/>
  <c r="E100" i="12"/>
  <c r="F100" i="6"/>
  <c r="G69" i="6"/>
  <c r="E47" i="12"/>
  <c r="F47" i="6"/>
  <c r="G49" i="6"/>
  <c r="F41" i="6"/>
  <c r="E41" i="12"/>
  <c r="U80" i="5"/>
  <c r="E59" i="12"/>
  <c r="F59" i="6"/>
  <c r="U76" i="5"/>
  <c r="G79" i="6"/>
  <c r="F62" i="6"/>
  <c r="E62" i="12"/>
  <c r="G52" i="6"/>
  <c r="G90" i="6"/>
  <c r="G44" i="6"/>
  <c r="F26" i="6"/>
  <c r="E26" i="12"/>
  <c r="G105" i="6"/>
  <c r="G27" i="6"/>
  <c r="E109" i="12"/>
  <c r="F109" i="6"/>
  <c r="U35" i="5"/>
  <c r="U75" i="5"/>
  <c r="G30" i="6"/>
  <c r="G100" i="6"/>
  <c r="U69" i="5"/>
  <c r="G47" i="6"/>
  <c r="U49" i="5"/>
  <c r="U41" i="5"/>
  <c r="G80" i="6"/>
  <c r="G59" i="6"/>
  <c r="F76" i="6"/>
  <c r="E76" i="12"/>
  <c r="U79" i="5"/>
  <c r="U62" i="5"/>
  <c r="U52" i="5"/>
  <c r="U90" i="5"/>
  <c r="E72" i="12"/>
  <c r="F72" i="6"/>
  <c r="U37" i="5"/>
  <c r="G115" i="6"/>
  <c r="U57" i="5"/>
  <c r="G42" i="6"/>
  <c r="U89" i="5"/>
  <c r="G107" i="6"/>
  <c r="U108" i="5"/>
  <c r="G28" i="6"/>
  <c r="E67" i="12"/>
  <c r="F67" i="6"/>
  <c r="U106" i="5"/>
  <c r="U93" i="5"/>
  <c r="U50" i="5"/>
  <c r="E83" i="12"/>
  <c r="F83" i="6"/>
  <c r="G99" i="6"/>
  <c r="U22" i="5"/>
  <c r="E71" i="12"/>
  <c r="F71" i="6"/>
  <c r="F33" i="6"/>
  <c r="E33" i="12"/>
  <c r="E103" i="12"/>
  <c r="F103" i="6"/>
  <c r="G72" i="6"/>
  <c r="F37" i="6"/>
  <c r="E37" i="12"/>
  <c r="F115" i="6"/>
  <c r="E115" i="12"/>
  <c r="F70" i="6"/>
  <c r="E70" i="12"/>
  <c r="G57" i="6"/>
  <c r="U42" i="5"/>
  <c r="E89" i="12"/>
  <c r="F89" i="6"/>
  <c r="E107" i="12"/>
  <c r="F107" i="6"/>
  <c r="E102" i="12"/>
  <c r="F102" i="6"/>
  <c r="E108" i="12"/>
  <c r="F108" i="6"/>
  <c r="U28" i="5"/>
  <c r="G67" i="6"/>
  <c r="E74" i="12"/>
  <c r="F74" i="6"/>
  <c r="E106" i="12"/>
  <c r="F106" i="6"/>
  <c r="E93" i="12"/>
  <c r="F93" i="6"/>
  <c r="E50" i="12"/>
  <c r="F50" i="6"/>
  <c r="U83" i="5"/>
  <c r="F66" i="6"/>
  <c r="E66" i="12"/>
  <c r="U99" i="5"/>
  <c r="G22" i="6"/>
  <c r="U72" i="5"/>
  <c r="G37" i="6"/>
  <c r="U115" i="5"/>
  <c r="G70" i="6"/>
  <c r="E57" i="12"/>
  <c r="F57" i="6"/>
  <c r="F42" i="6"/>
  <c r="E42" i="12"/>
  <c r="G89" i="6"/>
  <c r="U107" i="5"/>
  <c r="G102" i="6"/>
  <c r="G108" i="6"/>
  <c r="E28" i="12"/>
  <c r="F28" i="6"/>
  <c r="U67" i="5"/>
  <c r="G74" i="6"/>
  <c r="G106" i="6"/>
  <c r="G93" i="6"/>
  <c r="G50" i="6"/>
  <c r="G83" i="6"/>
  <c r="G66" i="6"/>
  <c r="F99" i="6"/>
  <c r="E99" i="12"/>
  <c r="E19" i="12"/>
  <c r="F19" i="6"/>
  <c r="E22" i="12"/>
  <c r="F22" i="6"/>
  <c r="E98" i="12"/>
  <c r="F98" i="6"/>
  <c r="U81" i="5"/>
  <c r="G45" i="6"/>
  <c r="E84" i="12"/>
  <c r="F84" i="6"/>
  <c r="F94" i="6"/>
  <c r="E94" i="12"/>
  <c r="G117" i="6"/>
  <c r="F29" i="6"/>
  <c r="E29" i="12"/>
  <c r="E78" i="12"/>
  <c r="F78" i="6"/>
  <c r="E111" i="12"/>
  <c r="F111" i="6"/>
  <c r="U95" i="5"/>
  <c r="E24" i="12"/>
  <c r="F24" i="6"/>
  <c r="F48" i="6"/>
  <c r="E48" i="12"/>
  <c r="U23" i="5"/>
  <c r="E53" i="12"/>
  <c r="F53" i="6"/>
  <c r="F110" i="6"/>
  <c r="E110" i="12"/>
  <c r="G36" i="6"/>
  <c r="U19" i="5"/>
  <c r="G98" i="6"/>
  <c r="E31" i="12"/>
  <c r="F31" i="6"/>
  <c r="G81" i="6"/>
  <c r="F38" i="6"/>
  <c r="E38" i="12"/>
  <c r="U45" i="5"/>
  <c r="U84" i="5"/>
  <c r="G94" i="6"/>
  <c r="U117" i="5"/>
  <c r="U29" i="5"/>
  <c r="G78" i="6"/>
  <c r="F101" i="6"/>
  <c r="E101" i="12"/>
  <c r="U111" i="5"/>
  <c r="G95" i="6"/>
  <c r="U24" i="5"/>
  <c r="G48" i="6"/>
  <c r="G23" i="6"/>
  <c r="U53" i="5"/>
  <c r="F32" i="6"/>
  <c r="E32" i="12"/>
  <c r="G110" i="6"/>
  <c r="E36" i="12"/>
  <c r="F36" i="6"/>
  <c r="G19" i="6"/>
  <c r="U98" i="5"/>
  <c r="G31" i="6"/>
  <c r="F81" i="6"/>
  <c r="E81" i="12"/>
  <c r="G38" i="6"/>
  <c r="E45" i="12"/>
  <c r="F45" i="6"/>
  <c r="G84" i="6"/>
  <c r="U94" i="5"/>
  <c r="E117" i="12"/>
  <c r="F117" i="6"/>
  <c r="G29" i="6"/>
  <c r="U78" i="5"/>
  <c r="G101" i="6"/>
  <c r="G111" i="6"/>
  <c r="E95" i="12"/>
  <c r="F95" i="6"/>
  <c r="G24" i="6"/>
  <c r="U48" i="5"/>
  <c r="E23" i="12"/>
  <c r="F23" i="6"/>
  <c r="G53" i="6"/>
  <c r="G32" i="6"/>
  <c r="U110" i="5"/>
  <c r="U36" i="5"/>
  <c r="U54" i="5"/>
  <c r="U118" i="5"/>
  <c r="U116" i="5"/>
  <c r="U61" i="5"/>
  <c r="U97" i="5"/>
  <c r="E112" i="12"/>
  <c r="F112" i="6"/>
  <c r="U39" i="5"/>
  <c r="F68" i="6"/>
  <c r="E68" i="12"/>
  <c r="G40" i="6"/>
  <c r="U85" i="5"/>
  <c r="E114" i="12"/>
  <c r="F114" i="6"/>
  <c r="G58" i="6"/>
  <c r="G86" i="6"/>
  <c r="G51" i="6"/>
  <c r="F65" i="6"/>
  <c r="E65" i="12"/>
  <c r="E43" i="12"/>
  <c r="F43" i="6"/>
  <c r="G77" i="6"/>
  <c r="G63" i="6"/>
  <c r="E20" i="12"/>
  <c r="F20" i="6"/>
  <c r="G54" i="6"/>
  <c r="G118" i="6"/>
  <c r="E116" i="12"/>
  <c r="F116" i="6"/>
  <c r="E91" i="12"/>
  <c r="F91" i="6"/>
  <c r="F61" i="6"/>
  <c r="E61" i="12"/>
  <c r="G97" i="6"/>
  <c r="G112" i="6"/>
  <c r="E39" i="12"/>
  <c r="F39" i="6"/>
  <c r="G68" i="6"/>
  <c r="E40" i="12"/>
  <c r="F40" i="6"/>
  <c r="F85" i="6"/>
  <c r="E85" i="12"/>
  <c r="G114" i="6"/>
  <c r="U58" i="5"/>
  <c r="F86" i="6"/>
  <c r="E86" i="12"/>
  <c r="F51" i="6"/>
  <c r="E51" i="12"/>
  <c r="U65" i="5"/>
  <c r="U43" i="5"/>
  <c r="F77" i="6"/>
  <c r="E77" i="12"/>
  <c r="E63" i="12"/>
  <c r="F63" i="6"/>
  <c r="U18" i="5"/>
  <c r="G20" i="6"/>
  <c r="AC14" i="5"/>
  <c r="E14" i="12"/>
  <c r="F14" i="6"/>
  <c r="AN106" i="5" l="1"/>
  <c r="W106" i="5"/>
  <c r="X106" i="5" s="1"/>
  <c r="AN45" i="5"/>
  <c r="W45" i="5"/>
  <c r="X45" i="5" s="1"/>
  <c r="W95" i="5"/>
  <c r="X95" i="5" s="1"/>
  <c r="AN95" i="5"/>
  <c r="AN83" i="5"/>
  <c r="W83" i="5"/>
  <c r="X83" i="5" s="1"/>
  <c r="AN49" i="5"/>
  <c r="W49" i="5"/>
  <c r="X49" i="5" s="1"/>
  <c r="W47" i="5"/>
  <c r="X47" i="5" s="1"/>
  <c r="AN47" i="5"/>
  <c r="W86" i="5"/>
  <c r="X86" i="5" s="1"/>
  <c r="AN86" i="5"/>
  <c r="AN41" i="5"/>
  <c r="W41" i="5"/>
  <c r="X41" i="5" s="1"/>
  <c r="W18" i="5"/>
  <c r="X18" i="5" s="1"/>
  <c r="AN18" i="5"/>
  <c r="AN98" i="5"/>
  <c r="W98" i="5"/>
  <c r="X98" i="5" s="1"/>
  <c r="AN24" i="5"/>
  <c r="W24" i="5"/>
  <c r="X24" i="5" s="1"/>
  <c r="W67" i="5"/>
  <c r="X67" i="5" s="1"/>
  <c r="AN67" i="5"/>
  <c r="AN90" i="5"/>
  <c r="W90" i="5"/>
  <c r="X90" i="5" s="1"/>
  <c r="W69" i="5"/>
  <c r="X69" i="5" s="1"/>
  <c r="AN69" i="5"/>
  <c r="AN80" i="5"/>
  <c r="W80" i="5"/>
  <c r="X80" i="5" s="1"/>
  <c r="AN97" i="5"/>
  <c r="W97" i="5"/>
  <c r="X97" i="5" s="1"/>
  <c r="AN48" i="5"/>
  <c r="W48" i="5"/>
  <c r="X48" i="5" s="1"/>
  <c r="W94" i="5"/>
  <c r="X94" i="5" s="1"/>
  <c r="AN94" i="5"/>
  <c r="W111" i="5"/>
  <c r="X111" i="5" s="1"/>
  <c r="AN111" i="5"/>
  <c r="W22" i="5"/>
  <c r="X22" i="5" s="1"/>
  <c r="AN22" i="5"/>
  <c r="W52" i="5"/>
  <c r="X52" i="5" s="1"/>
  <c r="AN52" i="5"/>
  <c r="W51" i="5"/>
  <c r="X51" i="5" s="1"/>
  <c r="AN51" i="5"/>
  <c r="AN61" i="5"/>
  <c r="W61" i="5"/>
  <c r="X61" i="5" s="1"/>
  <c r="AN115" i="5"/>
  <c r="W115" i="5"/>
  <c r="X115" i="5" s="1"/>
  <c r="W108" i="5"/>
  <c r="X108" i="5" s="1"/>
  <c r="AN108" i="5"/>
  <c r="AN62" i="5"/>
  <c r="W62" i="5"/>
  <c r="X62" i="5" s="1"/>
  <c r="AN100" i="5"/>
  <c r="W100" i="5"/>
  <c r="X100" i="5" s="1"/>
  <c r="AN114" i="5"/>
  <c r="W114" i="5"/>
  <c r="X114" i="5" s="1"/>
  <c r="AN84" i="5"/>
  <c r="W84" i="5"/>
  <c r="X84" i="5" s="1"/>
  <c r="AN58" i="5"/>
  <c r="W58" i="5"/>
  <c r="X58" i="5" s="1"/>
  <c r="AN116" i="5"/>
  <c r="W116" i="5"/>
  <c r="X116" i="5" s="1"/>
  <c r="W23" i="5"/>
  <c r="X23" i="5" s="1"/>
  <c r="AN23" i="5"/>
  <c r="W81" i="5"/>
  <c r="X81" i="5" s="1"/>
  <c r="AN81" i="5"/>
  <c r="AN28" i="5"/>
  <c r="W28" i="5"/>
  <c r="X28" i="5" s="1"/>
  <c r="AN79" i="5"/>
  <c r="W79" i="5"/>
  <c r="X79" i="5" s="1"/>
  <c r="W75" i="5"/>
  <c r="X75" i="5" s="1"/>
  <c r="AN75" i="5"/>
  <c r="AN44" i="5"/>
  <c r="W44" i="5"/>
  <c r="X44" i="5" s="1"/>
  <c r="W30" i="5"/>
  <c r="X30" i="5" s="1"/>
  <c r="AN30" i="5"/>
  <c r="AN26" i="5"/>
  <c r="W26" i="5"/>
  <c r="X26" i="5" s="1"/>
  <c r="W85" i="5"/>
  <c r="X85" i="5" s="1"/>
  <c r="AN85" i="5"/>
  <c r="AN118" i="5"/>
  <c r="W118" i="5"/>
  <c r="X118" i="5" s="1"/>
  <c r="AN72" i="5"/>
  <c r="W72" i="5"/>
  <c r="X72" i="5" s="1"/>
  <c r="W42" i="5"/>
  <c r="X42" i="5" s="1"/>
  <c r="AN42" i="5"/>
  <c r="AN89" i="5"/>
  <c r="W89" i="5"/>
  <c r="X89" i="5" s="1"/>
  <c r="AN35" i="5"/>
  <c r="W35" i="5"/>
  <c r="X35" i="5" s="1"/>
  <c r="W63" i="5"/>
  <c r="X63" i="5" s="1"/>
  <c r="AN63" i="5"/>
  <c r="W54" i="5"/>
  <c r="X54" i="5" s="1"/>
  <c r="AN54" i="5"/>
  <c r="AN107" i="5"/>
  <c r="W107" i="5"/>
  <c r="X107" i="5" s="1"/>
  <c r="W77" i="5"/>
  <c r="X77" i="5" s="1"/>
  <c r="AN77" i="5"/>
  <c r="AN40" i="5"/>
  <c r="W40" i="5"/>
  <c r="X40" i="5" s="1"/>
  <c r="W43" i="5"/>
  <c r="X43" i="5" s="1"/>
  <c r="AN43" i="5"/>
  <c r="AN36" i="5"/>
  <c r="W36" i="5"/>
  <c r="X36" i="5" s="1"/>
  <c r="AN29" i="5"/>
  <c r="W29" i="5"/>
  <c r="X29" i="5" s="1"/>
  <c r="W99" i="5"/>
  <c r="X99" i="5" s="1"/>
  <c r="AN99" i="5"/>
  <c r="AN50" i="5"/>
  <c r="W50" i="5"/>
  <c r="X50" i="5" s="1"/>
  <c r="AN57" i="5"/>
  <c r="W57" i="5"/>
  <c r="X57" i="5" s="1"/>
  <c r="AN68" i="5"/>
  <c r="W68" i="5"/>
  <c r="X68" i="5" s="1"/>
  <c r="AN65" i="5"/>
  <c r="W65" i="5"/>
  <c r="X65" i="5" s="1"/>
  <c r="AN110" i="5"/>
  <c r="W110" i="5"/>
  <c r="X110" i="5" s="1"/>
  <c r="AN117" i="5"/>
  <c r="W117" i="5"/>
  <c r="X117" i="5" s="1"/>
  <c r="AN19" i="5"/>
  <c r="W19" i="5"/>
  <c r="X19" i="5" s="1"/>
  <c r="AN109" i="5"/>
  <c r="W109" i="5"/>
  <c r="X109" i="5" s="1"/>
  <c r="W39" i="5"/>
  <c r="X39" i="5" s="1"/>
  <c r="AN39" i="5"/>
  <c r="AN78" i="5"/>
  <c r="W78" i="5"/>
  <c r="X78" i="5" s="1"/>
  <c r="AN53" i="5"/>
  <c r="W53" i="5"/>
  <c r="X53" i="5" s="1"/>
  <c r="W93" i="5"/>
  <c r="X93" i="5" s="1"/>
  <c r="AN93" i="5"/>
  <c r="AN37" i="5"/>
  <c r="W37" i="5"/>
  <c r="X37" i="5" s="1"/>
  <c r="AN76" i="5"/>
  <c r="W76" i="5"/>
  <c r="X76" i="5" s="1"/>
  <c r="W112" i="5"/>
  <c r="X112" i="5" s="1"/>
  <c r="AN112" i="5"/>
  <c r="AG71" i="5"/>
  <c r="AG33" i="5"/>
  <c r="AG103" i="5"/>
  <c r="AG32" i="5"/>
  <c r="AG105" i="5"/>
  <c r="AG74" i="5"/>
  <c r="AG38" i="5"/>
  <c r="AG59" i="5"/>
  <c r="AG20" i="5"/>
  <c r="AG91" i="5"/>
  <c r="AG70" i="5"/>
  <c r="AG102" i="5"/>
  <c r="AG31" i="5"/>
  <c r="AG27" i="5"/>
  <c r="AG66" i="5"/>
  <c r="AG101" i="5"/>
  <c r="U101" i="5" l="1"/>
  <c r="U66" i="5"/>
  <c r="U27" i="5"/>
  <c r="U31" i="5"/>
  <c r="U102" i="5"/>
  <c r="U70" i="5"/>
  <c r="U91" i="5"/>
  <c r="U20" i="5"/>
  <c r="U59" i="5"/>
  <c r="U38" i="5"/>
  <c r="U74" i="5"/>
  <c r="U105" i="5"/>
  <c r="U32" i="5"/>
  <c r="U103" i="5"/>
  <c r="U33" i="5"/>
  <c r="U71" i="5"/>
  <c r="L19" i="5"/>
  <c r="I19" i="12"/>
  <c r="Z19" i="5"/>
  <c r="AM19" i="5"/>
  <c r="AC19" i="5"/>
  <c r="I30" i="12"/>
  <c r="Z30" i="5"/>
  <c r="L30" i="5"/>
  <c r="AM30" i="5"/>
  <c r="AC30" i="5"/>
  <c r="I23" i="12"/>
  <c r="AM23" i="5"/>
  <c r="L23" i="5"/>
  <c r="Z23" i="5"/>
  <c r="AC23" i="5"/>
  <c r="Z80" i="5"/>
  <c r="AM80" i="5"/>
  <c r="L80" i="5"/>
  <c r="I80" i="12"/>
  <c r="AC80" i="5"/>
  <c r="I89" i="5"/>
  <c r="I90" i="5" s="1"/>
  <c r="AM89" i="5"/>
  <c r="I89" i="12"/>
  <c r="L89" i="5"/>
  <c r="Z89" i="5"/>
  <c r="AC89" i="5"/>
  <c r="AM78" i="5"/>
  <c r="Z78" i="5"/>
  <c r="L78" i="5"/>
  <c r="I78" i="12"/>
  <c r="AC78" i="5"/>
  <c r="L50" i="5"/>
  <c r="Z50" i="5"/>
  <c r="I50" i="12"/>
  <c r="AM50" i="5"/>
  <c r="AC50" i="5"/>
  <c r="Z44" i="5"/>
  <c r="L44" i="5"/>
  <c r="AM44" i="5"/>
  <c r="I44" i="12"/>
  <c r="AC44" i="5"/>
  <c r="AM116" i="5"/>
  <c r="L116" i="5"/>
  <c r="I116" i="12"/>
  <c r="Z116" i="5"/>
  <c r="AC116" i="5"/>
  <c r="I62" i="12"/>
  <c r="AM62" i="5"/>
  <c r="L62" i="5"/>
  <c r="Z62" i="5"/>
  <c r="AC62" i="5"/>
  <c r="Z52" i="5"/>
  <c r="AM52" i="5"/>
  <c r="I52" i="12"/>
  <c r="L52" i="5"/>
  <c r="AC52" i="5"/>
  <c r="I18" i="5"/>
  <c r="I19" i="5" s="1"/>
  <c r="I18" i="12"/>
  <c r="AM18" i="5"/>
  <c r="Z18" i="5"/>
  <c r="L18" i="5"/>
  <c r="AC18" i="5"/>
  <c r="Z95" i="5"/>
  <c r="I95" i="12"/>
  <c r="AM95" i="5"/>
  <c r="L95" i="5"/>
  <c r="AC95" i="5"/>
  <c r="AM117" i="5"/>
  <c r="L117" i="5"/>
  <c r="Z117" i="5"/>
  <c r="I117" i="12"/>
  <c r="AC117" i="5"/>
  <c r="I77" i="12"/>
  <c r="Z77" i="5"/>
  <c r="AM77" i="5"/>
  <c r="L77" i="5"/>
  <c r="AC77" i="5"/>
  <c r="Z42" i="5"/>
  <c r="AM42" i="5"/>
  <c r="I42" i="12"/>
  <c r="L42" i="5"/>
  <c r="AC42" i="5"/>
  <c r="L41" i="5"/>
  <c r="Z41" i="5"/>
  <c r="AM41" i="5"/>
  <c r="I41" i="12"/>
  <c r="AC41" i="5"/>
  <c r="Z45" i="5"/>
  <c r="AM45" i="5"/>
  <c r="L45" i="5"/>
  <c r="C45" i="6" s="1"/>
  <c r="I45" i="12"/>
  <c r="AC45" i="5"/>
  <c r="AM40" i="5"/>
  <c r="L40" i="5"/>
  <c r="Z40" i="5"/>
  <c r="I40" i="12"/>
  <c r="AC40" i="5"/>
  <c r="I107" i="12"/>
  <c r="AM107" i="5"/>
  <c r="L107" i="5"/>
  <c r="Z107" i="5"/>
  <c r="AC107" i="5"/>
  <c r="Z72" i="5"/>
  <c r="AM72" i="5"/>
  <c r="I72" i="12"/>
  <c r="L72" i="5"/>
  <c r="C72" i="6" s="1"/>
  <c r="AC72" i="5"/>
  <c r="I22" i="5"/>
  <c r="I23" i="5" s="1"/>
  <c r="I24" i="5" s="1"/>
  <c r="L22" i="5"/>
  <c r="X21" i="5"/>
  <c r="I22" i="12"/>
  <c r="Z22" i="5"/>
  <c r="AM22" i="5"/>
  <c r="AC22" i="5"/>
  <c r="L69" i="5"/>
  <c r="Z69" i="5"/>
  <c r="AM69" i="5"/>
  <c r="I69" i="12"/>
  <c r="AC69" i="5"/>
  <c r="I51" i="12"/>
  <c r="L51" i="5"/>
  <c r="Z51" i="5"/>
  <c r="AM51" i="5"/>
  <c r="AC51" i="5"/>
  <c r="I99" i="12"/>
  <c r="Z99" i="5"/>
  <c r="AM99" i="5"/>
  <c r="L99" i="5"/>
  <c r="AC99" i="5"/>
  <c r="AM75" i="5"/>
  <c r="I75" i="12"/>
  <c r="Z75" i="5"/>
  <c r="L75" i="5"/>
  <c r="AC75" i="5"/>
  <c r="Z108" i="5"/>
  <c r="L108" i="5"/>
  <c r="I108" i="12"/>
  <c r="AM108" i="5"/>
  <c r="AC108" i="5"/>
  <c r="I90" i="12"/>
  <c r="AM90" i="5"/>
  <c r="L90" i="5"/>
  <c r="Z90" i="5"/>
  <c r="AC90" i="5"/>
  <c r="AM112" i="5"/>
  <c r="Z112" i="5"/>
  <c r="L112" i="5"/>
  <c r="C112" i="6" s="1"/>
  <c r="I112" i="12"/>
  <c r="AC112" i="5"/>
  <c r="AM110" i="5"/>
  <c r="L110" i="5"/>
  <c r="Z110" i="5"/>
  <c r="I110" i="12"/>
  <c r="AC110" i="5"/>
  <c r="Z76" i="5"/>
  <c r="L76" i="5"/>
  <c r="AM76" i="5"/>
  <c r="I76" i="12"/>
  <c r="AC76" i="5"/>
  <c r="L118" i="5"/>
  <c r="I118" i="12"/>
  <c r="AM118" i="5"/>
  <c r="Z118" i="5"/>
  <c r="AC118" i="5"/>
  <c r="L58" i="5"/>
  <c r="I58" i="12"/>
  <c r="Z58" i="5"/>
  <c r="AM58" i="5"/>
  <c r="AC58" i="5"/>
  <c r="L115" i="5"/>
  <c r="I115" i="12"/>
  <c r="AM115" i="5"/>
  <c r="Z115" i="5"/>
  <c r="AC115" i="5"/>
  <c r="AC111" i="5"/>
  <c r="AM111" i="5"/>
  <c r="L111" i="5"/>
  <c r="I111" i="12"/>
  <c r="Z111" i="5"/>
  <c r="Z86" i="5"/>
  <c r="AM86" i="5"/>
  <c r="L86" i="5"/>
  <c r="I86" i="12"/>
  <c r="AC86" i="5"/>
  <c r="L100" i="5"/>
  <c r="Z100" i="5"/>
  <c r="I100" i="12"/>
  <c r="AM100" i="5"/>
  <c r="AC100" i="5"/>
  <c r="I29" i="12"/>
  <c r="Z29" i="5"/>
  <c r="AM29" i="5"/>
  <c r="L29" i="5"/>
  <c r="AC29" i="5"/>
  <c r="AC79" i="5"/>
  <c r="Z79" i="5"/>
  <c r="L79" i="5"/>
  <c r="AM79" i="5"/>
  <c r="I79" i="12"/>
  <c r="L65" i="5"/>
  <c r="I65" i="12"/>
  <c r="AM65" i="5"/>
  <c r="I65" i="5"/>
  <c r="Z65" i="5"/>
  <c r="AC65" i="5"/>
  <c r="Z54" i="5"/>
  <c r="I54" i="12"/>
  <c r="AM54" i="5"/>
  <c r="L54" i="5"/>
  <c r="C54" i="6" s="1"/>
  <c r="AC54" i="5"/>
  <c r="AM37" i="5"/>
  <c r="Z37" i="5"/>
  <c r="I37" i="12"/>
  <c r="L37" i="5"/>
  <c r="AC37" i="5"/>
  <c r="L39" i="5"/>
  <c r="AM39" i="5"/>
  <c r="Z39" i="5"/>
  <c r="I39" i="12"/>
  <c r="AC39" i="5"/>
  <c r="I36" i="12"/>
  <c r="L36" i="5"/>
  <c r="AM36" i="5"/>
  <c r="Z36" i="5"/>
  <c r="AC36" i="5"/>
  <c r="I28" i="12"/>
  <c r="Z28" i="5"/>
  <c r="L28" i="5"/>
  <c r="AM28" i="5"/>
  <c r="AC28" i="5"/>
  <c r="L84" i="5"/>
  <c r="Z84" i="5"/>
  <c r="I84" i="12"/>
  <c r="AM84" i="5"/>
  <c r="AC84" i="5"/>
  <c r="I61" i="5"/>
  <c r="I62" i="5" s="1"/>
  <c r="I63" i="5" s="1"/>
  <c r="Z61" i="5"/>
  <c r="I61" i="12"/>
  <c r="X60" i="5"/>
  <c r="AM61" i="5"/>
  <c r="L61" i="5"/>
  <c r="AC61" i="5"/>
  <c r="I94" i="12"/>
  <c r="AM94" i="5"/>
  <c r="L94" i="5"/>
  <c r="Z94" i="5"/>
  <c r="AC94" i="5"/>
  <c r="AM67" i="5"/>
  <c r="Z67" i="5"/>
  <c r="L67" i="5"/>
  <c r="I67" i="12"/>
  <c r="AC67" i="5"/>
  <c r="AM47" i="5"/>
  <c r="Z47" i="5"/>
  <c r="I47" i="5"/>
  <c r="I48" i="5" s="1"/>
  <c r="I49" i="5" s="1"/>
  <c r="I50" i="5" s="1"/>
  <c r="I51" i="5" s="1"/>
  <c r="I52" i="5" s="1"/>
  <c r="I53" i="5" s="1"/>
  <c r="I54" i="5" s="1"/>
  <c r="L47" i="5"/>
  <c r="I47" i="12"/>
  <c r="X46" i="5"/>
  <c r="AC47" i="5"/>
  <c r="AM53" i="5"/>
  <c r="L53" i="5"/>
  <c r="I53" i="12"/>
  <c r="Z53" i="5"/>
  <c r="AC53" i="5"/>
  <c r="L109" i="5"/>
  <c r="Z109" i="5"/>
  <c r="AM109" i="5"/>
  <c r="I109" i="12"/>
  <c r="AC109" i="5"/>
  <c r="Z63" i="5"/>
  <c r="I63" i="12"/>
  <c r="L63" i="5"/>
  <c r="AM63" i="5"/>
  <c r="AC63" i="5"/>
  <c r="L85" i="5"/>
  <c r="Z85" i="5"/>
  <c r="AM85" i="5"/>
  <c r="I85" i="12"/>
  <c r="AC85" i="5"/>
  <c r="I48" i="12"/>
  <c r="L48" i="5"/>
  <c r="Z48" i="5"/>
  <c r="AM48" i="5"/>
  <c r="AC48" i="5"/>
  <c r="AM24" i="5"/>
  <c r="Z24" i="5"/>
  <c r="L24" i="5"/>
  <c r="C24" i="6" s="1"/>
  <c r="I24" i="12"/>
  <c r="AC24" i="5"/>
  <c r="I49" i="12"/>
  <c r="AM49" i="5"/>
  <c r="L49" i="5"/>
  <c r="Z49" i="5"/>
  <c r="AC49" i="5"/>
  <c r="L57" i="5"/>
  <c r="I57" i="5"/>
  <c r="I58" i="5" s="1"/>
  <c r="AM57" i="5"/>
  <c r="Z57" i="5"/>
  <c r="I57" i="12"/>
  <c r="AC57" i="5"/>
  <c r="AM68" i="5"/>
  <c r="L68" i="5"/>
  <c r="Z68" i="5"/>
  <c r="I68" i="12"/>
  <c r="AC68" i="5"/>
  <c r="I35" i="12"/>
  <c r="I35" i="5"/>
  <c r="I36" i="5" s="1"/>
  <c r="I37" i="5" s="1"/>
  <c r="AM35" i="5"/>
  <c r="Z35" i="5"/>
  <c r="L35" i="5"/>
  <c r="AC35" i="5"/>
  <c r="L26" i="5"/>
  <c r="I26" i="5"/>
  <c r="I26" i="12"/>
  <c r="Z26" i="5"/>
  <c r="AM26" i="5"/>
  <c r="AC26" i="5"/>
  <c r="I114" i="5"/>
  <c r="I115" i="5" s="1"/>
  <c r="I116" i="5" s="1"/>
  <c r="I117" i="5" s="1"/>
  <c r="I118" i="5" s="1"/>
  <c r="AM114" i="5"/>
  <c r="Z114" i="5"/>
  <c r="I114" i="12"/>
  <c r="L114" i="5"/>
  <c r="X113" i="5"/>
  <c r="AC114" i="5"/>
  <c r="I106" i="12"/>
  <c r="Z106" i="5"/>
  <c r="L106" i="5"/>
  <c r="AM106" i="5"/>
  <c r="AC106" i="5"/>
  <c r="L93" i="5"/>
  <c r="I93" i="5"/>
  <c r="I94" i="5" s="1"/>
  <c r="I95" i="5" s="1"/>
  <c r="X92" i="5"/>
  <c r="AM93" i="5"/>
  <c r="I93" i="12"/>
  <c r="Z93" i="5"/>
  <c r="AC93" i="5"/>
  <c r="L43" i="5"/>
  <c r="I43" i="12"/>
  <c r="AM43" i="5"/>
  <c r="Z43" i="5"/>
  <c r="AC43" i="5"/>
  <c r="AM81" i="5"/>
  <c r="Z81" i="5"/>
  <c r="L81" i="5"/>
  <c r="C81" i="6" s="1"/>
  <c r="I81" i="12"/>
  <c r="AC81" i="5"/>
  <c r="L97" i="5"/>
  <c r="Z97" i="5"/>
  <c r="AM97" i="5"/>
  <c r="I97" i="12"/>
  <c r="I97" i="5"/>
  <c r="I98" i="5" s="1"/>
  <c r="I99" i="5" s="1"/>
  <c r="I100" i="5" s="1"/>
  <c r="AC97" i="5"/>
  <c r="Z98" i="5"/>
  <c r="AM98" i="5"/>
  <c r="L98" i="5"/>
  <c r="I98" i="12"/>
  <c r="AC98" i="5"/>
  <c r="X82" i="5"/>
  <c r="L83" i="5"/>
  <c r="I83" i="12"/>
  <c r="Z83" i="5"/>
  <c r="AM83" i="5"/>
  <c r="I83" i="5"/>
  <c r="I84" i="5" s="1"/>
  <c r="I85" i="5" s="1"/>
  <c r="I86" i="5" s="1"/>
  <c r="AC83" i="5"/>
  <c r="M98" i="12" l="1"/>
  <c r="C98" i="12"/>
  <c r="O98" i="12"/>
  <c r="AO98" i="12"/>
  <c r="O98" i="5"/>
  <c r="C98" i="6"/>
  <c r="AO81" i="12"/>
  <c r="O81" i="12"/>
  <c r="M81" i="12"/>
  <c r="C81" i="12"/>
  <c r="C106" i="6"/>
  <c r="C63" i="6"/>
  <c r="O63" i="5"/>
  <c r="C53" i="6"/>
  <c r="O53" i="5"/>
  <c r="AB67" i="5"/>
  <c r="AB61" i="5"/>
  <c r="O37" i="12"/>
  <c r="M37" i="12"/>
  <c r="C37" i="12"/>
  <c r="AO37" i="12"/>
  <c r="Y37" i="12" s="1"/>
  <c r="AB54" i="5"/>
  <c r="AB79" i="5"/>
  <c r="C100" i="6"/>
  <c r="O100" i="5"/>
  <c r="AB110" i="5"/>
  <c r="AO117" i="12"/>
  <c r="Y117" i="12" s="1"/>
  <c r="M117" i="12"/>
  <c r="O117" i="12"/>
  <c r="C117" i="12"/>
  <c r="AB62" i="5"/>
  <c r="AB78" i="5"/>
  <c r="C80" i="12"/>
  <c r="M80" i="12"/>
  <c r="O80" i="12"/>
  <c r="AO80" i="12"/>
  <c r="C30" i="6"/>
  <c r="AN105" i="5"/>
  <c r="W105" i="5"/>
  <c r="X105" i="5" s="1"/>
  <c r="O83" i="5"/>
  <c r="C83" i="6"/>
  <c r="C97" i="6"/>
  <c r="O97" i="5"/>
  <c r="AB106" i="5"/>
  <c r="AB26" i="5"/>
  <c r="C57" i="6"/>
  <c r="O57" i="5"/>
  <c r="O63" i="12"/>
  <c r="AO63" i="12"/>
  <c r="C63" i="12"/>
  <c r="M63" i="12"/>
  <c r="AB36" i="5"/>
  <c r="AB37" i="5"/>
  <c r="AB115" i="5"/>
  <c r="M118" i="12"/>
  <c r="O118" i="12"/>
  <c r="C118" i="12"/>
  <c r="AO118" i="12"/>
  <c r="C110" i="6"/>
  <c r="AO90" i="12"/>
  <c r="C90" i="12"/>
  <c r="O90" i="12"/>
  <c r="M90" i="12"/>
  <c r="O69" i="12"/>
  <c r="AO69" i="12"/>
  <c r="C69" i="12"/>
  <c r="M69" i="12"/>
  <c r="AB107" i="5"/>
  <c r="M45" i="12"/>
  <c r="C45" i="12"/>
  <c r="AO45" i="12"/>
  <c r="O45" i="12"/>
  <c r="C42" i="6"/>
  <c r="AB117" i="5"/>
  <c r="O18" i="5"/>
  <c r="C18" i="6"/>
  <c r="C62" i="6"/>
  <c r="O62" i="5"/>
  <c r="C44" i="6"/>
  <c r="C80" i="6"/>
  <c r="AB30" i="5"/>
  <c r="AN74" i="5"/>
  <c r="W74" i="5"/>
  <c r="X74" i="5" s="1"/>
  <c r="AB98" i="5"/>
  <c r="AB81" i="5"/>
  <c r="M106" i="12"/>
  <c r="C106" i="12"/>
  <c r="AO106" i="12"/>
  <c r="O106" i="12"/>
  <c r="O26" i="12"/>
  <c r="C26" i="12"/>
  <c r="M26" i="12"/>
  <c r="AO26" i="12"/>
  <c r="C68" i="12"/>
  <c r="M68" i="12"/>
  <c r="AO68" i="12"/>
  <c r="O68" i="12"/>
  <c r="AB48" i="5"/>
  <c r="AB63" i="5"/>
  <c r="O86" i="12"/>
  <c r="M86" i="12"/>
  <c r="AO86" i="12"/>
  <c r="C86" i="12"/>
  <c r="C118" i="6"/>
  <c r="O118" i="5"/>
  <c r="C99" i="6"/>
  <c r="O99" i="5"/>
  <c r="C107" i="6"/>
  <c r="O42" i="12"/>
  <c r="AO42" i="12"/>
  <c r="M42" i="12"/>
  <c r="C42" i="12"/>
  <c r="C117" i="6"/>
  <c r="O117" i="5"/>
  <c r="AB18" i="5"/>
  <c r="AB44" i="5"/>
  <c r="C30" i="12"/>
  <c r="O30" i="12"/>
  <c r="AO30" i="12"/>
  <c r="M30" i="12"/>
  <c r="AN38" i="5"/>
  <c r="W38" i="5"/>
  <c r="X38" i="5" s="1"/>
  <c r="AB68" i="5"/>
  <c r="AB49" i="5"/>
  <c r="C48" i="6"/>
  <c r="O48" i="5"/>
  <c r="AM46" i="5"/>
  <c r="R29" i="8"/>
  <c r="L46" i="5"/>
  <c r="AC46" i="5"/>
  <c r="I46" i="12"/>
  <c r="Z46" i="5"/>
  <c r="AB94" i="5"/>
  <c r="C36" i="6"/>
  <c r="O36" i="5"/>
  <c r="AB65" i="5"/>
  <c r="C86" i="6"/>
  <c r="O86" i="5"/>
  <c r="AO115" i="12"/>
  <c r="M115" i="12"/>
  <c r="O115" i="12"/>
  <c r="C115" i="12"/>
  <c r="AB69" i="5"/>
  <c r="M62" i="12"/>
  <c r="C62" i="12"/>
  <c r="AO62" i="12"/>
  <c r="O62" i="12"/>
  <c r="AB80" i="5"/>
  <c r="AN59" i="5"/>
  <c r="W59" i="5"/>
  <c r="X59" i="5" s="1"/>
  <c r="AB93" i="5"/>
  <c r="AM113" i="5"/>
  <c r="L113" i="5"/>
  <c r="R65" i="8"/>
  <c r="I113" i="12"/>
  <c r="Z113" i="5"/>
  <c r="AC113" i="5"/>
  <c r="C26" i="6"/>
  <c r="O26" i="5"/>
  <c r="C68" i="6"/>
  <c r="C49" i="6"/>
  <c r="O49" i="5"/>
  <c r="C48" i="12"/>
  <c r="AO48" i="12"/>
  <c r="O48" i="12"/>
  <c r="M48" i="12"/>
  <c r="AO47" i="12"/>
  <c r="O47" i="12"/>
  <c r="M47" i="12"/>
  <c r="C47" i="12"/>
  <c r="C94" i="6"/>
  <c r="O94" i="5"/>
  <c r="O84" i="12"/>
  <c r="M84" i="12"/>
  <c r="AO84" i="12"/>
  <c r="C84" i="12"/>
  <c r="O36" i="12"/>
  <c r="C36" i="12"/>
  <c r="M36" i="12"/>
  <c r="AO36" i="12"/>
  <c r="C29" i="6"/>
  <c r="C115" i="6"/>
  <c r="O115" i="5"/>
  <c r="AB99" i="5"/>
  <c r="C69" i="6"/>
  <c r="C107" i="12"/>
  <c r="O107" i="12"/>
  <c r="AO107" i="12"/>
  <c r="M107" i="12"/>
  <c r="AB45" i="5"/>
  <c r="AB42" i="5"/>
  <c r="C18" i="12"/>
  <c r="M18" i="12"/>
  <c r="AO18" i="12"/>
  <c r="O18" i="12"/>
  <c r="W20" i="5"/>
  <c r="X20" i="5" s="1"/>
  <c r="AN20" i="5"/>
  <c r="M109" i="12"/>
  <c r="C109" i="12"/>
  <c r="AO109" i="12"/>
  <c r="O109" i="12"/>
  <c r="AB84" i="5"/>
  <c r="O76" i="12"/>
  <c r="M76" i="12"/>
  <c r="AO76" i="12"/>
  <c r="C76" i="12"/>
  <c r="O112" i="12"/>
  <c r="AO112" i="12"/>
  <c r="M112" i="12"/>
  <c r="C112" i="12"/>
  <c r="O108" i="12"/>
  <c r="AO108" i="12"/>
  <c r="C108" i="12"/>
  <c r="M108" i="12"/>
  <c r="AO99" i="12"/>
  <c r="M99" i="12"/>
  <c r="C99" i="12"/>
  <c r="O99" i="12"/>
  <c r="O95" i="5"/>
  <c r="C95" i="6"/>
  <c r="AB116" i="5"/>
  <c r="O50" i="12"/>
  <c r="M50" i="12"/>
  <c r="C50" i="12"/>
  <c r="AO50" i="12"/>
  <c r="AB89" i="5"/>
  <c r="AB23" i="5"/>
  <c r="AB19" i="5"/>
  <c r="W91" i="5"/>
  <c r="X91" i="5" s="1"/>
  <c r="AN91" i="5"/>
  <c r="O114" i="5"/>
  <c r="C114" i="6"/>
  <c r="O47" i="5"/>
  <c r="C47" i="6"/>
  <c r="AB86" i="5"/>
  <c r="AB83" i="5"/>
  <c r="C97" i="12"/>
  <c r="M97" i="12"/>
  <c r="O97" i="12"/>
  <c r="AO97" i="12"/>
  <c r="AB43" i="5"/>
  <c r="C114" i="12"/>
  <c r="AO114" i="12"/>
  <c r="M114" i="12"/>
  <c r="O114" i="12"/>
  <c r="AO49" i="12"/>
  <c r="O49" i="12"/>
  <c r="M49" i="12"/>
  <c r="C49" i="12"/>
  <c r="AO85" i="12"/>
  <c r="O85" i="12"/>
  <c r="C85" i="12"/>
  <c r="M85" i="12"/>
  <c r="O54" i="5"/>
  <c r="M94" i="12"/>
  <c r="C94" i="12"/>
  <c r="AO94" i="12"/>
  <c r="O94" i="12"/>
  <c r="C84" i="6"/>
  <c r="O84" i="5"/>
  <c r="O39" i="12"/>
  <c r="C39" i="12"/>
  <c r="AO39" i="12"/>
  <c r="M39" i="12"/>
  <c r="O65" i="12"/>
  <c r="AO65" i="12"/>
  <c r="M65" i="12"/>
  <c r="C65" i="12"/>
  <c r="AB29" i="5"/>
  <c r="C108" i="6"/>
  <c r="AO116" i="12"/>
  <c r="O116" i="12"/>
  <c r="C116" i="12"/>
  <c r="M116" i="12"/>
  <c r="AB50" i="5"/>
  <c r="C89" i="6"/>
  <c r="O89" i="5"/>
  <c r="C23" i="6"/>
  <c r="O23" i="5"/>
  <c r="O19" i="12"/>
  <c r="C19" i="12"/>
  <c r="AO19" i="12"/>
  <c r="M19" i="12"/>
  <c r="AN70" i="5"/>
  <c r="W70" i="5"/>
  <c r="X70" i="5" s="1"/>
  <c r="Z92" i="5"/>
  <c r="AM92" i="5"/>
  <c r="AC92" i="5"/>
  <c r="R56" i="8"/>
  <c r="L92" i="5"/>
  <c r="I92" i="12"/>
  <c r="AB114" i="5"/>
  <c r="O35" i="5"/>
  <c r="C35" i="6"/>
  <c r="AB109" i="5"/>
  <c r="AB47" i="5"/>
  <c r="AB39" i="5"/>
  <c r="C65" i="6"/>
  <c r="O65" i="5"/>
  <c r="O29" i="12"/>
  <c r="M29" i="12"/>
  <c r="AO29" i="12"/>
  <c r="C29" i="12"/>
  <c r="AB111" i="5"/>
  <c r="AB58" i="5"/>
  <c r="C76" i="6"/>
  <c r="AB112" i="5"/>
  <c r="AB108" i="5"/>
  <c r="AB22" i="5"/>
  <c r="M40" i="12"/>
  <c r="AO40" i="12"/>
  <c r="O40" i="12"/>
  <c r="C40" i="12"/>
  <c r="AO41" i="12"/>
  <c r="O41" i="12"/>
  <c r="C41" i="12"/>
  <c r="M41" i="12"/>
  <c r="C77" i="6"/>
  <c r="M95" i="12"/>
  <c r="AO95" i="12"/>
  <c r="O95" i="12"/>
  <c r="C95" i="12"/>
  <c r="C52" i="6"/>
  <c r="O52" i="5"/>
  <c r="C116" i="6"/>
  <c r="O116" i="5"/>
  <c r="C50" i="6"/>
  <c r="O50" i="5"/>
  <c r="M89" i="12"/>
  <c r="AO89" i="12"/>
  <c r="C89" i="12"/>
  <c r="O89" i="12"/>
  <c r="O19" i="5"/>
  <c r="C19" i="6"/>
  <c r="W102" i="5"/>
  <c r="X102" i="5" s="1"/>
  <c r="AN102" i="5"/>
  <c r="AB35" i="5"/>
  <c r="M24" i="12"/>
  <c r="O24" i="12"/>
  <c r="AO24" i="12"/>
  <c r="C24" i="12"/>
  <c r="AB85" i="5"/>
  <c r="C109" i="6"/>
  <c r="O61" i="5"/>
  <c r="C61" i="6"/>
  <c r="M111" i="12"/>
  <c r="AO111" i="12"/>
  <c r="C111" i="12"/>
  <c r="O111" i="12"/>
  <c r="C58" i="12"/>
  <c r="O58" i="12"/>
  <c r="M58" i="12"/>
  <c r="AO58" i="12"/>
  <c r="AB76" i="5"/>
  <c r="AB51" i="5"/>
  <c r="M22" i="12"/>
  <c r="O22" i="12"/>
  <c r="AO22" i="12"/>
  <c r="C22" i="12"/>
  <c r="AO72" i="12"/>
  <c r="M72" i="12"/>
  <c r="C72" i="12"/>
  <c r="O72" i="12"/>
  <c r="AB40" i="5"/>
  <c r="AB95" i="5"/>
  <c r="M52" i="12"/>
  <c r="C52" i="12"/>
  <c r="AO52" i="12"/>
  <c r="O52" i="12"/>
  <c r="M23" i="12"/>
  <c r="O23" i="12"/>
  <c r="C23" i="12"/>
  <c r="AO23" i="12"/>
  <c r="AN71" i="5"/>
  <c r="W71" i="5"/>
  <c r="X71" i="5" s="1"/>
  <c r="W31" i="5"/>
  <c r="X31" i="5" s="1"/>
  <c r="AN31" i="5"/>
  <c r="AO57" i="12"/>
  <c r="O57" i="12"/>
  <c r="M57" i="12"/>
  <c r="C57" i="12"/>
  <c r="O85" i="5"/>
  <c r="C85" i="6"/>
  <c r="C28" i="6"/>
  <c r="C39" i="6"/>
  <c r="M79" i="12"/>
  <c r="AO79" i="12"/>
  <c r="C79" i="12"/>
  <c r="O79" i="12"/>
  <c r="C111" i="6"/>
  <c r="C58" i="6"/>
  <c r="O58" i="5"/>
  <c r="C75" i="6"/>
  <c r="O51" i="5"/>
  <c r="C51" i="6"/>
  <c r="AM21" i="5"/>
  <c r="R20" i="8"/>
  <c r="L21" i="5"/>
  <c r="Z21" i="5"/>
  <c r="I21" i="12"/>
  <c r="AC21" i="5"/>
  <c r="C40" i="6"/>
  <c r="AB41" i="5"/>
  <c r="AB77" i="5"/>
  <c r="AN33" i="5"/>
  <c r="W33" i="5"/>
  <c r="X33" i="5" s="1"/>
  <c r="AN27" i="5"/>
  <c r="W27" i="5"/>
  <c r="X27" i="5" s="1"/>
  <c r="AB97" i="5"/>
  <c r="M43" i="12"/>
  <c r="AO43" i="12"/>
  <c r="O43" i="12"/>
  <c r="C43" i="12"/>
  <c r="AC82" i="5"/>
  <c r="R47" i="8"/>
  <c r="Z82" i="5"/>
  <c r="AM82" i="5"/>
  <c r="L82" i="5"/>
  <c r="I82" i="12"/>
  <c r="C43" i="6"/>
  <c r="C93" i="6"/>
  <c r="O93" i="5"/>
  <c r="AB57" i="5"/>
  <c r="AB24" i="5"/>
  <c r="AB53" i="5"/>
  <c r="C67" i="12"/>
  <c r="M67" i="12"/>
  <c r="O67" i="12"/>
  <c r="AO67" i="12"/>
  <c r="Z60" i="5"/>
  <c r="R38" i="8"/>
  <c r="AM60" i="5"/>
  <c r="I60" i="12"/>
  <c r="AC60" i="5"/>
  <c r="L60" i="5"/>
  <c r="AB28" i="5"/>
  <c r="AO100" i="12"/>
  <c r="C100" i="12"/>
  <c r="M100" i="12"/>
  <c r="O100" i="12"/>
  <c r="AB90" i="5"/>
  <c r="AB75" i="5"/>
  <c r="AO51" i="12"/>
  <c r="O51" i="12"/>
  <c r="C51" i="12"/>
  <c r="M51" i="12"/>
  <c r="C22" i="6"/>
  <c r="O22" i="5"/>
  <c r="AB72" i="5"/>
  <c r="C41" i="6"/>
  <c r="M77" i="12"/>
  <c r="O77" i="12"/>
  <c r="AO77" i="12"/>
  <c r="C77" i="12"/>
  <c r="AB52" i="5"/>
  <c r="AO78" i="12"/>
  <c r="M78" i="12"/>
  <c r="O78" i="12"/>
  <c r="C78" i="12"/>
  <c r="AN103" i="5"/>
  <c r="W103" i="5"/>
  <c r="X103" i="5" s="1"/>
  <c r="W66" i="5"/>
  <c r="X66" i="5" s="1"/>
  <c r="AN66" i="5"/>
  <c r="M93" i="12"/>
  <c r="M92" i="12" s="1"/>
  <c r="O93" i="12"/>
  <c r="C93" i="12"/>
  <c r="AO93" i="12"/>
  <c r="O83" i="12"/>
  <c r="M83" i="12"/>
  <c r="M82" i="12" s="1"/>
  <c r="C83" i="12"/>
  <c r="AO83" i="12"/>
  <c r="C35" i="12"/>
  <c r="M35" i="12"/>
  <c r="O35" i="12"/>
  <c r="AO35" i="12"/>
  <c r="AO53" i="12"/>
  <c r="C53" i="12"/>
  <c r="O53" i="12"/>
  <c r="M53" i="12"/>
  <c r="C67" i="6"/>
  <c r="M61" i="12"/>
  <c r="M60" i="12" s="1"/>
  <c r="O61" i="12"/>
  <c r="C61" i="12"/>
  <c r="AO61" i="12"/>
  <c r="O28" i="12"/>
  <c r="AO28" i="12"/>
  <c r="C28" i="12"/>
  <c r="M28" i="12"/>
  <c r="C37" i="6"/>
  <c r="O37" i="5"/>
  <c r="O54" i="12"/>
  <c r="M54" i="12"/>
  <c r="AO54" i="12"/>
  <c r="C54" i="12"/>
  <c r="C79" i="6"/>
  <c r="AB100" i="5"/>
  <c r="AB118" i="5"/>
  <c r="AO110" i="12"/>
  <c r="M110" i="12"/>
  <c r="O110" i="12"/>
  <c r="N110" i="12" s="1"/>
  <c r="C110" i="12"/>
  <c r="C90" i="6"/>
  <c r="O90" i="5"/>
  <c r="AO75" i="12"/>
  <c r="O75" i="12"/>
  <c r="M75" i="12"/>
  <c r="C75" i="12"/>
  <c r="O24" i="5"/>
  <c r="C44" i="12"/>
  <c r="O44" i="12"/>
  <c r="AO44" i="12"/>
  <c r="M44" i="12"/>
  <c r="C78" i="6"/>
  <c r="W32" i="5"/>
  <c r="X32" i="5" s="1"/>
  <c r="AN32" i="5"/>
  <c r="W101" i="5"/>
  <c r="X101" i="5" s="1"/>
  <c r="AN101" i="5"/>
  <c r="N98" i="12" l="1"/>
  <c r="Y106" i="12"/>
  <c r="N62" i="12"/>
  <c r="N106" i="12"/>
  <c r="N79" i="12"/>
  <c r="Y42" i="12"/>
  <c r="N49" i="12"/>
  <c r="Y72" i="12"/>
  <c r="N108" i="12"/>
  <c r="N116" i="12"/>
  <c r="Y76" i="12"/>
  <c r="Y100" i="12"/>
  <c r="N85" i="12"/>
  <c r="Y98" i="12"/>
  <c r="Y36" i="12"/>
  <c r="W36" i="12" s="1"/>
  <c r="N29" i="12"/>
  <c r="Y45" i="12"/>
  <c r="Y81" i="12"/>
  <c r="N53" i="12"/>
  <c r="Y90" i="12"/>
  <c r="W90" i="12" s="1"/>
  <c r="Y52" i="12"/>
  <c r="Y30" i="12"/>
  <c r="Y54" i="12"/>
  <c r="Y75" i="12"/>
  <c r="Y78" i="12"/>
  <c r="N51" i="12"/>
  <c r="N94" i="12"/>
  <c r="N77" i="12"/>
  <c r="Y28" i="12"/>
  <c r="X28" i="12" s="1"/>
  <c r="Y62" i="12"/>
  <c r="N40" i="12"/>
  <c r="Y111" i="12"/>
  <c r="Y84" i="12"/>
  <c r="X84" i="12" s="1"/>
  <c r="Y115" i="12"/>
  <c r="Y77" i="12"/>
  <c r="M21" i="12"/>
  <c r="N112" i="12"/>
  <c r="Y44" i="12"/>
  <c r="N99" i="12"/>
  <c r="Y86" i="12"/>
  <c r="W86" i="12" s="1"/>
  <c r="Y85" i="12"/>
  <c r="N76" i="12"/>
  <c r="Y43" i="12"/>
  <c r="N58" i="12"/>
  <c r="N41" i="12"/>
  <c r="N39" i="12"/>
  <c r="N19" i="12"/>
  <c r="N75" i="12"/>
  <c r="Y108" i="12"/>
  <c r="X108" i="12" s="1"/>
  <c r="Y107" i="12"/>
  <c r="Y68" i="12"/>
  <c r="X68" i="12" s="1"/>
  <c r="N45" i="12"/>
  <c r="N69" i="12"/>
  <c r="N81" i="12"/>
  <c r="N83" i="12"/>
  <c r="O82" i="12"/>
  <c r="N82" i="12" s="1"/>
  <c r="D61" i="12"/>
  <c r="E61" i="6"/>
  <c r="N93" i="12"/>
  <c r="O92" i="12"/>
  <c r="N92" i="12" s="1"/>
  <c r="N28" i="12"/>
  <c r="N35" i="12"/>
  <c r="I66" i="12"/>
  <c r="I66" i="5"/>
  <c r="I67" i="5" s="1"/>
  <c r="L66" i="5"/>
  <c r="Z66" i="5"/>
  <c r="AM66" i="5"/>
  <c r="AC66" i="5"/>
  <c r="X64" i="5"/>
  <c r="N43" i="12"/>
  <c r="AB21" i="5"/>
  <c r="Y29" i="12"/>
  <c r="AO113" i="12"/>
  <c r="Y114" i="12"/>
  <c r="Y99" i="12"/>
  <c r="D100" i="12"/>
  <c r="E100" i="6"/>
  <c r="I101" i="5"/>
  <c r="I102" i="5" s="1"/>
  <c r="I103" i="5" s="1"/>
  <c r="L101" i="5"/>
  <c r="Z101" i="5"/>
  <c r="I101" i="12"/>
  <c r="AM101" i="5"/>
  <c r="AC101" i="5"/>
  <c r="X96" i="5"/>
  <c r="Y61" i="12"/>
  <c r="AO60" i="12"/>
  <c r="AM103" i="5"/>
  <c r="Z103" i="5"/>
  <c r="L103" i="5"/>
  <c r="I103" i="12"/>
  <c r="AC103" i="5"/>
  <c r="G39" i="8"/>
  <c r="F39" i="8"/>
  <c r="V40" i="8"/>
  <c r="W40" i="8"/>
  <c r="AE40" i="8"/>
  <c r="AD40" i="8"/>
  <c r="X40" i="8"/>
  <c r="U40" i="8"/>
  <c r="AA40" i="8"/>
  <c r="T40" i="8"/>
  <c r="D40" i="8"/>
  <c r="Y40" i="8"/>
  <c r="Z40" i="8"/>
  <c r="F38" i="8"/>
  <c r="AB40" i="8"/>
  <c r="AC40" i="8"/>
  <c r="G38" i="8"/>
  <c r="I39" i="8" s="1"/>
  <c r="E93" i="6"/>
  <c r="D93" i="12"/>
  <c r="W43" i="12"/>
  <c r="X43" i="12"/>
  <c r="D58" i="12"/>
  <c r="E58" i="6"/>
  <c r="N23" i="12"/>
  <c r="Y89" i="12"/>
  <c r="D54" i="12"/>
  <c r="E54" i="6"/>
  <c r="Y50" i="12"/>
  <c r="E115" i="6"/>
  <c r="D115" i="12"/>
  <c r="D49" i="12"/>
  <c r="E49" i="6"/>
  <c r="D117" i="12"/>
  <c r="E117" i="6"/>
  <c r="D118" i="12"/>
  <c r="E118" i="6"/>
  <c r="E97" i="6"/>
  <c r="D97" i="12"/>
  <c r="X81" i="12"/>
  <c r="W81" i="12"/>
  <c r="W75" i="12"/>
  <c r="X75" i="12"/>
  <c r="D85" i="12"/>
  <c r="E85" i="6"/>
  <c r="W72" i="12"/>
  <c r="X72" i="12"/>
  <c r="Y24" i="12"/>
  <c r="D35" i="12"/>
  <c r="E35" i="6"/>
  <c r="Y19" i="12"/>
  <c r="Y116" i="12"/>
  <c r="D47" i="12"/>
  <c r="E47" i="6"/>
  <c r="N84" i="12"/>
  <c r="AB92" i="5"/>
  <c r="C56" i="8" s="1"/>
  <c r="E18" i="6"/>
  <c r="D18" i="12"/>
  <c r="E53" i="6"/>
  <c r="D53" i="12"/>
  <c r="Z32" i="5"/>
  <c r="AM32" i="5"/>
  <c r="I32" i="12"/>
  <c r="L32" i="5"/>
  <c r="AC32" i="5"/>
  <c r="D90" i="12"/>
  <c r="E90" i="6"/>
  <c r="N61" i="12"/>
  <c r="O60" i="12"/>
  <c r="N60" i="12" s="1"/>
  <c r="Y83" i="12"/>
  <c r="AO82" i="12"/>
  <c r="Y82" i="12" s="1"/>
  <c r="N100" i="12"/>
  <c r="Y67" i="12"/>
  <c r="N52" i="12"/>
  <c r="N111" i="12"/>
  <c r="N24" i="12"/>
  <c r="E50" i="6"/>
  <c r="D50" i="12"/>
  <c r="D65" i="12"/>
  <c r="E65" i="6"/>
  <c r="N109" i="12"/>
  <c r="D94" i="12"/>
  <c r="E94" i="6"/>
  <c r="I59" i="5"/>
  <c r="Z59" i="5"/>
  <c r="AM59" i="5"/>
  <c r="I59" i="12"/>
  <c r="L59" i="5"/>
  <c r="AC59" i="5"/>
  <c r="X55" i="5"/>
  <c r="X56" i="5"/>
  <c r="AM38" i="5"/>
  <c r="Z38" i="5"/>
  <c r="I38" i="12"/>
  <c r="I38" i="5"/>
  <c r="I39" i="5" s="1"/>
  <c r="L38" i="5"/>
  <c r="AC38" i="5"/>
  <c r="X34" i="5"/>
  <c r="Y26" i="12"/>
  <c r="X73" i="5"/>
  <c r="I74" i="5"/>
  <c r="I75" i="5" s="1"/>
  <c r="L74" i="5"/>
  <c r="AM74" i="5"/>
  <c r="I74" i="12"/>
  <c r="Z74" i="5"/>
  <c r="AC74" i="5"/>
  <c r="Y118" i="12"/>
  <c r="Y63" i="12"/>
  <c r="D98" i="12"/>
  <c r="E98" i="6"/>
  <c r="N78" i="12"/>
  <c r="N67" i="12"/>
  <c r="J21" i="12"/>
  <c r="C21" i="12"/>
  <c r="X52" i="12"/>
  <c r="W52" i="12"/>
  <c r="Y22" i="12"/>
  <c r="AO21" i="12"/>
  <c r="AB113" i="5"/>
  <c r="C65" i="8" s="1"/>
  <c r="Y39" i="12"/>
  <c r="Y97" i="12"/>
  <c r="D114" i="12"/>
  <c r="E114" i="6"/>
  <c r="N50" i="12"/>
  <c r="Y109" i="12"/>
  <c r="N115" i="12"/>
  <c r="C46" i="12"/>
  <c r="J46" i="12"/>
  <c r="N63" i="12"/>
  <c r="E83" i="6"/>
  <c r="D83" i="12"/>
  <c r="D63" i="12"/>
  <c r="E63" i="6"/>
  <c r="N57" i="12"/>
  <c r="N22" i="12"/>
  <c r="O21" i="12"/>
  <c r="N21" i="12" s="1"/>
  <c r="W111" i="12"/>
  <c r="X111" i="12"/>
  <c r="E116" i="6"/>
  <c r="D116" i="12"/>
  <c r="C92" i="12"/>
  <c r="J92" i="12"/>
  <c r="L92" i="12"/>
  <c r="D23" i="12"/>
  <c r="E23" i="6"/>
  <c r="X85" i="12"/>
  <c r="W85" i="12"/>
  <c r="N97" i="12"/>
  <c r="E26" i="6"/>
  <c r="D26" i="12"/>
  <c r="W42" i="12"/>
  <c r="X42" i="12"/>
  <c r="N118" i="12"/>
  <c r="D57" i="12"/>
  <c r="E57" i="6"/>
  <c r="W54" i="12"/>
  <c r="X54" i="12"/>
  <c r="X78" i="12"/>
  <c r="W78" i="12"/>
  <c r="X100" i="12"/>
  <c r="W100" i="12"/>
  <c r="O82" i="5"/>
  <c r="C82" i="6"/>
  <c r="O21" i="5"/>
  <c r="C21" i="6"/>
  <c r="Y57" i="12"/>
  <c r="Y41" i="12"/>
  <c r="C92" i="6"/>
  <c r="O92" i="5"/>
  <c r="AM91" i="5"/>
  <c r="Z91" i="5"/>
  <c r="I91" i="5"/>
  <c r="I91" i="12"/>
  <c r="L91" i="5"/>
  <c r="AC91" i="5"/>
  <c r="X88" i="5"/>
  <c r="X87" i="5"/>
  <c r="X107" i="12"/>
  <c r="W107" i="12"/>
  <c r="M46" i="12"/>
  <c r="W115" i="12"/>
  <c r="X115" i="12"/>
  <c r="O46" i="5"/>
  <c r="C46" i="6"/>
  <c r="X30" i="12"/>
  <c r="W30" i="12"/>
  <c r="N42" i="12"/>
  <c r="N86" i="12"/>
  <c r="N26" i="12"/>
  <c r="AM105" i="5"/>
  <c r="I105" i="12"/>
  <c r="X104" i="5"/>
  <c r="L105" i="5"/>
  <c r="Z105" i="5"/>
  <c r="I105" i="5"/>
  <c r="I106" i="5" s="1"/>
  <c r="AC105" i="5"/>
  <c r="W37" i="12"/>
  <c r="X37" i="12"/>
  <c r="W44" i="12"/>
  <c r="X44" i="12"/>
  <c r="D37" i="12"/>
  <c r="E37" i="6"/>
  <c r="Y93" i="12"/>
  <c r="AO92" i="12"/>
  <c r="Y92" i="12" s="1"/>
  <c r="AM33" i="5"/>
  <c r="Z33" i="5"/>
  <c r="L33" i="5"/>
  <c r="C33" i="6" s="1"/>
  <c r="I33" i="12"/>
  <c r="AC33" i="5"/>
  <c r="D22" i="8"/>
  <c r="W22" i="8"/>
  <c r="AC22" i="8"/>
  <c r="AB22" i="8"/>
  <c r="G21" i="8"/>
  <c r="Y22" i="8"/>
  <c r="F20" i="8"/>
  <c r="C20" i="8"/>
  <c r="F21" i="8"/>
  <c r="AE22" i="8"/>
  <c r="U22" i="8"/>
  <c r="T22" i="8"/>
  <c r="AD22" i="8"/>
  <c r="X22" i="8"/>
  <c r="AA22" i="8"/>
  <c r="Z22" i="8"/>
  <c r="G20" i="8"/>
  <c r="I21" i="8" s="1"/>
  <c r="V22" i="8"/>
  <c r="Y79" i="12"/>
  <c r="E52" i="6"/>
  <c r="D52" i="12"/>
  <c r="AC58" i="8"/>
  <c r="U58" i="8"/>
  <c r="AE58" i="8"/>
  <c r="G56" i="8"/>
  <c r="I57" i="8" s="1"/>
  <c r="AA58" i="8"/>
  <c r="AB58" i="8"/>
  <c r="F56" i="8"/>
  <c r="Z58" i="8"/>
  <c r="X58" i="8"/>
  <c r="T58" i="8"/>
  <c r="AD58" i="8"/>
  <c r="F57" i="8"/>
  <c r="D58" i="8"/>
  <c r="Y58" i="8"/>
  <c r="G57" i="8"/>
  <c r="V58" i="8"/>
  <c r="W58" i="8"/>
  <c r="D89" i="12"/>
  <c r="E89" i="6"/>
  <c r="D84" i="12"/>
  <c r="E84" i="6"/>
  <c r="Y112" i="12"/>
  <c r="N107" i="12"/>
  <c r="N47" i="12"/>
  <c r="O46" i="12"/>
  <c r="N46" i="12" s="1"/>
  <c r="D86" i="12"/>
  <c r="E86" i="6"/>
  <c r="AD31" i="8"/>
  <c r="F30" i="8"/>
  <c r="F29" i="8"/>
  <c r="G30" i="8"/>
  <c r="AB31" i="8"/>
  <c r="AE31" i="8"/>
  <c r="W31" i="8"/>
  <c r="T31" i="8"/>
  <c r="D31" i="8"/>
  <c r="AA31" i="8"/>
  <c r="V31" i="8"/>
  <c r="X31" i="8"/>
  <c r="U31" i="8"/>
  <c r="Y31" i="8"/>
  <c r="G29" i="8"/>
  <c r="I30" i="8" s="1"/>
  <c r="Z31" i="8"/>
  <c r="AC31" i="8"/>
  <c r="N30" i="12"/>
  <c r="Y69" i="12"/>
  <c r="N117" i="12"/>
  <c r="Z27" i="5"/>
  <c r="L27" i="5"/>
  <c r="AM27" i="5"/>
  <c r="I27" i="12"/>
  <c r="I27" i="5"/>
  <c r="I28" i="5" s="1"/>
  <c r="AC27" i="5"/>
  <c r="X25" i="5"/>
  <c r="L102" i="5"/>
  <c r="AM102" i="5"/>
  <c r="I102" i="12"/>
  <c r="Z102" i="5"/>
  <c r="AC102" i="5"/>
  <c r="D95" i="12"/>
  <c r="E95" i="6"/>
  <c r="AM20" i="5"/>
  <c r="I20" i="12"/>
  <c r="L20" i="5"/>
  <c r="Z20" i="5"/>
  <c r="I20" i="5"/>
  <c r="AC20" i="5"/>
  <c r="X15" i="5"/>
  <c r="X16" i="5"/>
  <c r="X17" i="5"/>
  <c r="Y47" i="12"/>
  <c r="AO46" i="12"/>
  <c r="X62" i="12"/>
  <c r="W62" i="12"/>
  <c r="X106" i="12"/>
  <c r="W106" i="12"/>
  <c r="W45" i="12"/>
  <c r="X45" i="12"/>
  <c r="W98" i="12"/>
  <c r="X98" i="12"/>
  <c r="C82" i="12"/>
  <c r="J82" i="12"/>
  <c r="L82" i="12"/>
  <c r="Y110" i="12"/>
  <c r="C60" i="6"/>
  <c r="O60" i="5"/>
  <c r="AC49" i="8"/>
  <c r="V49" i="8"/>
  <c r="F48" i="8"/>
  <c r="AD49" i="8"/>
  <c r="G47" i="8"/>
  <c r="I48" i="8" s="1"/>
  <c r="Y49" i="8"/>
  <c r="G48" i="8"/>
  <c r="W49" i="8"/>
  <c r="AE49" i="8"/>
  <c r="F47" i="8"/>
  <c r="AB49" i="8"/>
  <c r="T49" i="8"/>
  <c r="U49" i="8"/>
  <c r="X49" i="8"/>
  <c r="D49" i="8"/>
  <c r="AA49" i="8"/>
  <c r="Z49" i="8"/>
  <c r="Z71" i="5"/>
  <c r="L71" i="5"/>
  <c r="AM71" i="5"/>
  <c r="I71" i="12"/>
  <c r="AC71" i="5"/>
  <c r="Y40" i="12"/>
  <c r="Y65" i="12"/>
  <c r="Y49" i="12"/>
  <c r="AB82" i="5"/>
  <c r="C47" i="8" s="1"/>
  <c r="N18" i="12"/>
  <c r="C113" i="12"/>
  <c r="J113" i="12"/>
  <c r="D48" i="12"/>
  <c r="E48" i="6"/>
  <c r="W117" i="12"/>
  <c r="X117" i="12"/>
  <c r="N37" i="12"/>
  <c r="N44" i="12"/>
  <c r="Y53" i="12"/>
  <c r="X77" i="12"/>
  <c r="W77" i="12"/>
  <c r="Y51" i="12"/>
  <c r="E51" i="6"/>
  <c r="D51" i="12"/>
  <c r="E19" i="6"/>
  <c r="D19" i="12"/>
  <c r="N95" i="12"/>
  <c r="AB46" i="5"/>
  <c r="C29" i="8" s="1"/>
  <c r="N65" i="12"/>
  <c r="Y94" i="12"/>
  <c r="O113" i="12"/>
  <c r="N114" i="12"/>
  <c r="W76" i="12"/>
  <c r="X76" i="12"/>
  <c r="Y18" i="12"/>
  <c r="N36" i="12"/>
  <c r="N48" i="12"/>
  <c r="D67" i="8"/>
  <c r="G66" i="8"/>
  <c r="Y67" i="8"/>
  <c r="AB67" i="8"/>
  <c r="X67" i="8"/>
  <c r="T67" i="8"/>
  <c r="U67" i="8"/>
  <c r="Z67" i="8"/>
  <c r="F66" i="8"/>
  <c r="AC67" i="8"/>
  <c r="AD67" i="8"/>
  <c r="G65" i="8"/>
  <c r="I66" i="8" s="1"/>
  <c r="AE67" i="8"/>
  <c r="W67" i="8"/>
  <c r="F65" i="8"/>
  <c r="AA67" i="8"/>
  <c r="V67" i="8"/>
  <c r="N90" i="12"/>
  <c r="Y80" i="12"/>
  <c r="D22" i="12"/>
  <c r="E22" i="6"/>
  <c r="N54" i="12"/>
  <c r="L31" i="5"/>
  <c r="Z31" i="5"/>
  <c r="I31" i="12"/>
  <c r="AM31" i="5"/>
  <c r="AC31" i="5"/>
  <c r="E24" i="6"/>
  <c r="D24" i="12"/>
  <c r="Y35" i="12"/>
  <c r="C60" i="12"/>
  <c r="J60" i="12"/>
  <c r="L60" i="12"/>
  <c r="Y23" i="12"/>
  <c r="N72" i="12"/>
  <c r="Y58" i="12"/>
  <c r="N89" i="12"/>
  <c r="Y95" i="12"/>
  <c r="Z70" i="5"/>
  <c r="AM70" i="5"/>
  <c r="I70" i="12"/>
  <c r="L70" i="5"/>
  <c r="AC70" i="5"/>
  <c r="M113" i="12"/>
  <c r="Y48" i="12"/>
  <c r="O113" i="5"/>
  <c r="C113" i="6"/>
  <c r="E36" i="6"/>
  <c r="D36" i="12"/>
  <c r="E99" i="6"/>
  <c r="D99" i="12"/>
  <c r="N68" i="12"/>
  <c r="D62" i="12"/>
  <c r="E62" i="6"/>
  <c r="N80" i="12"/>
  <c r="AB60" i="5"/>
  <c r="C38" i="8" s="1"/>
  <c r="W84" i="12" l="1"/>
  <c r="X90" i="12"/>
  <c r="X36" i="12"/>
  <c r="W108" i="12"/>
  <c r="W28" i="12"/>
  <c r="X86" i="12"/>
  <c r="Y46" i="12"/>
  <c r="K60" i="12"/>
  <c r="K92" i="12"/>
  <c r="W68" i="12"/>
  <c r="W35" i="12"/>
  <c r="X35" i="12"/>
  <c r="L113" i="12"/>
  <c r="K113" i="12" s="1"/>
  <c r="N113" i="12"/>
  <c r="U98" i="12"/>
  <c r="T98" i="12"/>
  <c r="V98" i="12"/>
  <c r="R17" i="8"/>
  <c r="Z17" i="5"/>
  <c r="L17" i="5"/>
  <c r="AM17" i="5"/>
  <c r="I17" i="12"/>
  <c r="AC17" i="5"/>
  <c r="AO33" i="12"/>
  <c r="O33" i="12"/>
  <c r="M33" i="12"/>
  <c r="C33" i="12"/>
  <c r="X57" i="12"/>
  <c r="W57" i="12"/>
  <c r="V52" i="12"/>
  <c r="U52" i="12"/>
  <c r="T52" i="12"/>
  <c r="X63" i="12"/>
  <c r="W63" i="12"/>
  <c r="X26" i="12"/>
  <c r="W26" i="12"/>
  <c r="O59" i="12"/>
  <c r="C59" i="12"/>
  <c r="AO59" i="12"/>
  <c r="M59" i="12"/>
  <c r="AB103" i="5"/>
  <c r="O66" i="5"/>
  <c r="C66" i="6"/>
  <c r="X80" i="12"/>
  <c r="W80" i="12"/>
  <c r="C70" i="6"/>
  <c r="AB31" i="5"/>
  <c r="W94" i="12"/>
  <c r="X94" i="12"/>
  <c r="W53" i="12"/>
  <c r="X53" i="12"/>
  <c r="I16" i="12"/>
  <c r="AM16" i="5"/>
  <c r="Z16" i="5"/>
  <c r="L16" i="5"/>
  <c r="R14" i="8"/>
  <c r="O14" i="11"/>
  <c r="AC16" i="5"/>
  <c r="AB102" i="5"/>
  <c r="X69" i="12"/>
  <c r="W69" i="12"/>
  <c r="T36" i="12"/>
  <c r="U36" i="12"/>
  <c r="V36" i="12"/>
  <c r="U37" i="12"/>
  <c r="V37" i="12"/>
  <c r="T37" i="12"/>
  <c r="U30" i="12"/>
  <c r="T30" i="12"/>
  <c r="V30" i="12"/>
  <c r="C91" i="6"/>
  <c r="O91" i="5"/>
  <c r="W118" i="12"/>
  <c r="X118" i="12"/>
  <c r="R26" i="8"/>
  <c r="I34" i="12"/>
  <c r="L34" i="5"/>
  <c r="AM34" i="5"/>
  <c r="Z34" i="5"/>
  <c r="AC34" i="5"/>
  <c r="T43" i="12"/>
  <c r="V43" i="12"/>
  <c r="U43" i="12"/>
  <c r="W114" i="12"/>
  <c r="X114" i="12"/>
  <c r="I68" i="5"/>
  <c r="O67" i="5"/>
  <c r="O70" i="12"/>
  <c r="AO70" i="12"/>
  <c r="M70" i="12"/>
  <c r="C70" i="12"/>
  <c r="Y73" i="10"/>
  <c r="AE73" i="10"/>
  <c r="O73" i="10"/>
  <c r="S73" i="10"/>
  <c r="AM15" i="5"/>
  <c r="K73" i="10"/>
  <c r="Q73" i="10"/>
  <c r="I73" i="10"/>
  <c r="M73" i="10"/>
  <c r="W73" i="10"/>
  <c r="Z15" i="5"/>
  <c r="AC73" i="10"/>
  <c r="U73" i="10"/>
  <c r="AA73" i="10"/>
  <c r="AO102" i="12"/>
  <c r="Y102" i="12" s="1"/>
  <c r="C102" i="12"/>
  <c r="O102" i="12"/>
  <c r="M102" i="12"/>
  <c r="AB33" i="5"/>
  <c r="AO91" i="12"/>
  <c r="O91" i="12"/>
  <c r="M91" i="12"/>
  <c r="C91" i="12"/>
  <c r="E21" i="6"/>
  <c r="D21" i="12"/>
  <c r="H20" i="8"/>
  <c r="X109" i="12"/>
  <c r="W109" i="12"/>
  <c r="AB59" i="5"/>
  <c r="C32" i="6"/>
  <c r="X116" i="12"/>
  <c r="W116" i="12"/>
  <c r="T75" i="12"/>
  <c r="U75" i="12"/>
  <c r="V75" i="12"/>
  <c r="Y60" i="12"/>
  <c r="V90" i="12"/>
  <c r="U90" i="12"/>
  <c r="T90" i="12"/>
  <c r="Y113" i="12"/>
  <c r="M66" i="12"/>
  <c r="O66" i="12"/>
  <c r="AO66" i="12"/>
  <c r="C66" i="12"/>
  <c r="O31" i="12"/>
  <c r="AO31" i="12"/>
  <c r="M31" i="12"/>
  <c r="C31" i="12"/>
  <c r="C31" i="6"/>
  <c r="W49" i="12"/>
  <c r="X49" i="12"/>
  <c r="W112" i="12"/>
  <c r="X112" i="12"/>
  <c r="W79" i="12"/>
  <c r="X79" i="12"/>
  <c r="I107" i="5"/>
  <c r="O106" i="5"/>
  <c r="U42" i="12"/>
  <c r="T42" i="12"/>
  <c r="V42" i="12"/>
  <c r="O38" i="5"/>
  <c r="C38" i="6"/>
  <c r="C32" i="12"/>
  <c r="AO32" i="12"/>
  <c r="O32" i="12"/>
  <c r="M32" i="12"/>
  <c r="W19" i="12"/>
  <c r="X19" i="12"/>
  <c r="V81" i="12"/>
  <c r="T81" i="12"/>
  <c r="U81" i="12"/>
  <c r="W50" i="12"/>
  <c r="X50" i="12"/>
  <c r="X61" i="12"/>
  <c r="W61" i="12"/>
  <c r="U68" i="12"/>
  <c r="V68" i="12"/>
  <c r="T68" i="12"/>
  <c r="W29" i="12"/>
  <c r="X29" i="12"/>
  <c r="W65" i="12"/>
  <c r="X65" i="12"/>
  <c r="O102" i="5"/>
  <c r="C102" i="6"/>
  <c r="W92" i="12"/>
  <c r="X92" i="12"/>
  <c r="AB105" i="5"/>
  <c r="AB104" i="5" s="1"/>
  <c r="D46" i="12"/>
  <c r="E46" i="6"/>
  <c r="H29" i="8"/>
  <c r="AB91" i="5"/>
  <c r="E82" i="6"/>
  <c r="D82" i="12"/>
  <c r="H47" i="8"/>
  <c r="I40" i="5"/>
  <c r="O39" i="5"/>
  <c r="W67" i="12"/>
  <c r="X67" i="12"/>
  <c r="L96" i="5"/>
  <c r="AM96" i="5"/>
  <c r="Z96" i="5"/>
  <c r="AC96" i="5"/>
  <c r="R59" i="8"/>
  <c r="I96" i="12"/>
  <c r="E113" i="6"/>
  <c r="H65" i="8"/>
  <c r="D113" i="12"/>
  <c r="W95" i="12"/>
  <c r="X95" i="12"/>
  <c r="U28" i="12"/>
  <c r="V28" i="12"/>
  <c r="T28" i="12"/>
  <c r="T117" i="12"/>
  <c r="U117" i="12"/>
  <c r="V117" i="12"/>
  <c r="X40" i="12"/>
  <c r="W40" i="12"/>
  <c r="H38" i="8"/>
  <c r="E60" i="6"/>
  <c r="D60" i="12"/>
  <c r="V45" i="12"/>
  <c r="U45" i="12"/>
  <c r="T45" i="12"/>
  <c r="AB20" i="5"/>
  <c r="AM25" i="5"/>
  <c r="L25" i="5"/>
  <c r="R23" i="8"/>
  <c r="I25" i="12"/>
  <c r="Z25" i="5"/>
  <c r="AC25" i="5"/>
  <c r="X93" i="12"/>
  <c r="W93" i="12"/>
  <c r="C105" i="6"/>
  <c r="O105" i="5"/>
  <c r="T100" i="12"/>
  <c r="V100" i="12"/>
  <c r="U100" i="12"/>
  <c r="AB74" i="5"/>
  <c r="AB73" i="5" s="1"/>
  <c r="AO38" i="12"/>
  <c r="C38" i="12"/>
  <c r="M38" i="12"/>
  <c r="M34" i="12" s="1"/>
  <c r="O38" i="12"/>
  <c r="AB32" i="5"/>
  <c r="AB70" i="5"/>
  <c r="V106" i="12"/>
  <c r="U106" i="12"/>
  <c r="T106" i="12"/>
  <c r="C20" i="6"/>
  <c r="O20" i="5"/>
  <c r="AC104" i="5"/>
  <c r="Z104" i="5"/>
  <c r="AM104" i="5"/>
  <c r="I104" i="12"/>
  <c r="R62" i="8"/>
  <c r="L104" i="5"/>
  <c r="T115" i="12"/>
  <c r="V115" i="12"/>
  <c r="U115" i="12"/>
  <c r="L21" i="12"/>
  <c r="K21" i="12" s="1"/>
  <c r="M74" i="12"/>
  <c r="M73" i="12" s="1"/>
  <c r="C74" i="12"/>
  <c r="O74" i="12"/>
  <c r="AO74" i="12"/>
  <c r="AB38" i="5"/>
  <c r="AB34" i="5" s="1"/>
  <c r="X82" i="12"/>
  <c r="W82" i="12"/>
  <c r="X48" i="12"/>
  <c r="W48" i="12"/>
  <c r="W110" i="12"/>
  <c r="X110" i="12"/>
  <c r="AO20" i="12"/>
  <c r="C20" i="12"/>
  <c r="O20" i="12"/>
  <c r="M20" i="12"/>
  <c r="I29" i="5"/>
  <c r="O28" i="5"/>
  <c r="O105" i="12"/>
  <c r="C105" i="12"/>
  <c r="AO105" i="12"/>
  <c r="M105" i="12"/>
  <c r="M104" i="12" s="1"/>
  <c r="D92" i="12"/>
  <c r="H56" i="8"/>
  <c r="E92" i="6"/>
  <c r="V78" i="12"/>
  <c r="U78" i="12"/>
  <c r="T78" i="12"/>
  <c r="W97" i="12"/>
  <c r="X97" i="12"/>
  <c r="U108" i="12"/>
  <c r="V108" i="12"/>
  <c r="T108" i="12"/>
  <c r="W83" i="12"/>
  <c r="X83" i="12"/>
  <c r="C101" i="12"/>
  <c r="M101" i="12"/>
  <c r="O101" i="12"/>
  <c r="AO101" i="12"/>
  <c r="W18" i="12"/>
  <c r="X18" i="12"/>
  <c r="M71" i="12"/>
  <c r="O71" i="12"/>
  <c r="AO71" i="12"/>
  <c r="C71" i="12"/>
  <c r="K82" i="12"/>
  <c r="V62" i="12"/>
  <c r="U62" i="12"/>
  <c r="T62" i="12"/>
  <c r="O27" i="12"/>
  <c r="M27" i="12"/>
  <c r="C27" i="12"/>
  <c r="AO27" i="12"/>
  <c r="V107" i="12"/>
  <c r="T107" i="12"/>
  <c r="U107" i="12"/>
  <c r="V85" i="12"/>
  <c r="T85" i="12"/>
  <c r="U85" i="12"/>
  <c r="T111" i="12"/>
  <c r="V111" i="12"/>
  <c r="U111" i="12"/>
  <c r="W39" i="12"/>
  <c r="X39" i="12"/>
  <c r="C74" i="6"/>
  <c r="O74" i="5"/>
  <c r="I56" i="12"/>
  <c r="L56" i="5"/>
  <c r="AC56" i="5"/>
  <c r="AM56" i="5"/>
  <c r="Z56" i="5"/>
  <c r="R35" i="8"/>
  <c r="X24" i="12"/>
  <c r="W24" i="12"/>
  <c r="X89" i="12"/>
  <c r="W89" i="12"/>
  <c r="AB101" i="5"/>
  <c r="AB96" i="5" s="1"/>
  <c r="C59" i="8" s="1"/>
  <c r="AC64" i="5"/>
  <c r="I64" i="12"/>
  <c r="R41" i="8"/>
  <c r="Z64" i="5"/>
  <c r="L64" i="5"/>
  <c r="AM64" i="5"/>
  <c r="W58" i="12"/>
  <c r="X58" i="12"/>
  <c r="V44" i="12"/>
  <c r="T44" i="12"/>
  <c r="U44" i="12"/>
  <c r="X41" i="12"/>
  <c r="W41" i="12"/>
  <c r="U86" i="12"/>
  <c r="V86" i="12"/>
  <c r="T86" i="12"/>
  <c r="I76" i="5"/>
  <c r="O75" i="5"/>
  <c r="I55" i="12"/>
  <c r="L55" i="5"/>
  <c r="AC55" i="5"/>
  <c r="Z55" i="5"/>
  <c r="O15" i="11"/>
  <c r="AM55" i="5"/>
  <c r="R32" i="8"/>
  <c r="O101" i="5"/>
  <c r="C101" i="6"/>
  <c r="T84" i="12"/>
  <c r="U84" i="12"/>
  <c r="V84" i="12"/>
  <c r="V76" i="12"/>
  <c r="T76" i="12"/>
  <c r="U76" i="12"/>
  <c r="X51" i="12"/>
  <c r="W51" i="12"/>
  <c r="C71" i="6"/>
  <c r="X46" i="12"/>
  <c r="W46" i="12"/>
  <c r="O27" i="5"/>
  <c r="C27" i="6"/>
  <c r="AC87" i="5"/>
  <c r="O16" i="11"/>
  <c r="Z87" i="5"/>
  <c r="L87" i="5"/>
  <c r="R50" i="8"/>
  <c r="AM87" i="5"/>
  <c r="I87" i="12"/>
  <c r="U54" i="12"/>
  <c r="V54" i="12"/>
  <c r="T54" i="12"/>
  <c r="L46" i="12"/>
  <c r="K46" i="12" s="1"/>
  <c r="Y21" i="12"/>
  <c r="AM73" i="5"/>
  <c r="AC73" i="5"/>
  <c r="I73" i="12"/>
  <c r="L73" i="5"/>
  <c r="R44" i="8"/>
  <c r="Z73" i="5"/>
  <c r="T72" i="12"/>
  <c r="U72" i="12"/>
  <c r="V72" i="12"/>
  <c r="M103" i="12"/>
  <c r="O103" i="12"/>
  <c r="N103" i="12" s="1"/>
  <c r="AO103" i="12"/>
  <c r="C103" i="12"/>
  <c r="X99" i="12"/>
  <c r="W99" i="12"/>
  <c r="X23" i="12"/>
  <c r="W23" i="12"/>
  <c r="U77" i="12"/>
  <c r="V77" i="12"/>
  <c r="T77" i="12"/>
  <c r="AB71" i="5"/>
  <c r="W47" i="12"/>
  <c r="X47" i="12"/>
  <c r="AB27" i="5"/>
  <c r="AM88" i="5"/>
  <c r="L88" i="5"/>
  <c r="I88" i="12"/>
  <c r="AC88" i="5"/>
  <c r="Z88" i="5"/>
  <c r="R53" i="8"/>
  <c r="X22" i="12"/>
  <c r="W22" i="12"/>
  <c r="O59" i="5"/>
  <c r="C59" i="6"/>
  <c r="C103" i="6"/>
  <c r="O103" i="5"/>
  <c r="AB66" i="5"/>
  <c r="Y71" i="12" l="1"/>
  <c r="M25" i="12"/>
  <c r="N33" i="12"/>
  <c r="AB25" i="5"/>
  <c r="C23" i="8" s="1"/>
  <c r="Y70" i="12"/>
  <c r="N31" i="12"/>
  <c r="N70" i="12"/>
  <c r="V83" i="12"/>
  <c r="U83" i="12"/>
  <c r="T83" i="12"/>
  <c r="V46" i="12"/>
  <c r="T46" i="12"/>
  <c r="U46" i="12"/>
  <c r="Y105" i="12"/>
  <c r="AO104" i="12"/>
  <c r="T79" i="12"/>
  <c r="U79" i="12"/>
  <c r="V79" i="12"/>
  <c r="E101" i="6"/>
  <c r="D101" i="12"/>
  <c r="C64" i="12"/>
  <c r="J64" i="12"/>
  <c r="O56" i="5"/>
  <c r="C56" i="6"/>
  <c r="T82" i="12"/>
  <c r="U82" i="12"/>
  <c r="V82" i="12"/>
  <c r="D105" i="12"/>
  <c r="E105" i="6"/>
  <c r="AB64" i="5"/>
  <c r="C41" i="8" s="1"/>
  <c r="F32" i="8"/>
  <c r="G32" i="8"/>
  <c r="I33" i="8" s="1"/>
  <c r="G33" i="8"/>
  <c r="F33" i="8"/>
  <c r="T41" i="12"/>
  <c r="U41" i="12"/>
  <c r="V41" i="12"/>
  <c r="J56" i="12"/>
  <c r="C56" i="12"/>
  <c r="N71" i="12"/>
  <c r="N105" i="12"/>
  <c r="O104" i="12"/>
  <c r="N104" i="12" s="1"/>
  <c r="AB64" i="8"/>
  <c r="AC64" i="8"/>
  <c r="U64" i="8"/>
  <c r="F63" i="8"/>
  <c r="Z64" i="8"/>
  <c r="T64" i="8"/>
  <c r="G63" i="8"/>
  <c r="F62" i="8"/>
  <c r="AD64" i="8"/>
  <c r="AA64" i="8"/>
  <c r="AE64" i="8"/>
  <c r="C62" i="8"/>
  <c r="G62" i="8"/>
  <c r="I63" i="8" s="1"/>
  <c r="V64" i="8"/>
  <c r="W64" i="8"/>
  <c r="Y64" i="8"/>
  <c r="X64" i="8"/>
  <c r="D64" i="8"/>
  <c r="Y32" i="12"/>
  <c r="U112" i="12"/>
  <c r="T112" i="12"/>
  <c r="V112" i="12"/>
  <c r="M64" i="12"/>
  <c r="M88" i="12"/>
  <c r="M87" i="12"/>
  <c r="C16" i="6"/>
  <c r="O16" i="5"/>
  <c r="V80" i="12"/>
  <c r="U80" i="12"/>
  <c r="T80" i="12"/>
  <c r="U63" i="12"/>
  <c r="V63" i="12"/>
  <c r="T63" i="12"/>
  <c r="J17" i="12"/>
  <c r="C17" i="12"/>
  <c r="T48" i="12"/>
  <c r="V48" i="12"/>
  <c r="U48" i="12"/>
  <c r="J88" i="12"/>
  <c r="C88" i="12"/>
  <c r="AC43" i="8"/>
  <c r="AB43" i="8"/>
  <c r="AA43" i="8"/>
  <c r="W43" i="8"/>
  <c r="D43" i="8"/>
  <c r="F41" i="8"/>
  <c r="AD43" i="8"/>
  <c r="Y43" i="8"/>
  <c r="F42" i="8"/>
  <c r="T43" i="8"/>
  <c r="G42" i="8"/>
  <c r="G41" i="8"/>
  <c r="I42" i="8" s="1"/>
  <c r="X43" i="8"/>
  <c r="AE43" i="8"/>
  <c r="Z43" i="8"/>
  <c r="U43" i="8"/>
  <c r="V43" i="8"/>
  <c r="AB17" i="5"/>
  <c r="C17" i="8" s="1"/>
  <c r="AB16" i="5"/>
  <c r="AB14" i="11" s="1"/>
  <c r="AB15" i="5"/>
  <c r="E103" i="6"/>
  <c r="D103" i="12"/>
  <c r="V23" i="12"/>
  <c r="U23" i="12"/>
  <c r="T23" i="12"/>
  <c r="J87" i="12"/>
  <c r="C87" i="12"/>
  <c r="D74" i="12"/>
  <c r="E74" i="6"/>
  <c r="D28" i="12"/>
  <c r="E28" i="6"/>
  <c r="J104" i="12"/>
  <c r="C104" i="12"/>
  <c r="L104" i="12"/>
  <c r="U93" i="12"/>
  <c r="T93" i="12"/>
  <c r="V93" i="12"/>
  <c r="U67" i="12"/>
  <c r="V67" i="12"/>
  <c r="T67" i="12"/>
  <c r="V61" i="12"/>
  <c r="T61" i="12"/>
  <c r="U61" i="12"/>
  <c r="W113" i="12"/>
  <c r="X113" i="12"/>
  <c r="N91" i="12"/>
  <c r="O87" i="12"/>
  <c r="L87" i="12" s="1"/>
  <c r="K87" i="12" s="1"/>
  <c r="O88" i="12"/>
  <c r="W71" i="10"/>
  <c r="W70" i="10" s="1"/>
  <c r="W72" i="10"/>
  <c r="X70" i="12"/>
  <c r="W70" i="12"/>
  <c r="O34" i="5"/>
  <c r="C34" i="6"/>
  <c r="T51" i="12"/>
  <c r="V51" i="12"/>
  <c r="U51" i="12"/>
  <c r="W15" i="11"/>
  <c r="C15" i="11"/>
  <c r="L15" i="13"/>
  <c r="D15" i="13" s="1"/>
  <c r="Y27" i="12"/>
  <c r="AO25" i="12"/>
  <c r="T97" i="12"/>
  <c r="U97" i="12"/>
  <c r="V97" i="12"/>
  <c r="I30" i="5"/>
  <c r="O29" i="5"/>
  <c r="N38" i="12"/>
  <c r="O34" i="12"/>
  <c r="N34" i="12" s="1"/>
  <c r="T95" i="12"/>
  <c r="V95" i="12"/>
  <c r="U95" i="12"/>
  <c r="E39" i="6"/>
  <c r="D39" i="12"/>
  <c r="T49" i="12"/>
  <c r="U49" i="12"/>
  <c r="V49" i="12"/>
  <c r="AB56" i="5"/>
  <c r="C35" i="8" s="1"/>
  <c r="AB55" i="5"/>
  <c r="AB15" i="11" s="1"/>
  <c r="N15" i="11" s="1"/>
  <c r="Y91" i="12"/>
  <c r="AO87" i="12"/>
  <c r="AO88" i="12"/>
  <c r="M72" i="10"/>
  <c r="M71" i="10"/>
  <c r="M70" i="10" s="1"/>
  <c r="C34" i="12"/>
  <c r="J34" i="12"/>
  <c r="C17" i="6"/>
  <c r="O17" i="5"/>
  <c r="D46" i="8"/>
  <c r="AC46" i="8"/>
  <c r="V46" i="8"/>
  <c r="AB46" i="8"/>
  <c r="W46" i="8"/>
  <c r="F45" i="8"/>
  <c r="G44" i="8"/>
  <c r="I45" i="8" s="1"/>
  <c r="X46" i="8"/>
  <c r="U46" i="8"/>
  <c r="AA46" i="8"/>
  <c r="C44" i="8"/>
  <c r="G45" i="8"/>
  <c r="Z46" i="8"/>
  <c r="Y46" i="8"/>
  <c r="F44" i="8"/>
  <c r="T46" i="8"/>
  <c r="AD46" i="8"/>
  <c r="AE46" i="8"/>
  <c r="G50" i="8"/>
  <c r="I51" i="8" s="1"/>
  <c r="F50" i="8"/>
  <c r="F51" i="8"/>
  <c r="G51" i="8"/>
  <c r="V89" i="12"/>
  <c r="U89" i="12"/>
  <c r="T89" i="12"/>
  <c r="U18" i="12"/>
  <c r="V18" i="12"/>
  <c r="T18" i="12"/>
  <c r="M16" i="12"/>
  <c r="M17" i="12"/>
  <c r="Y74" i="12"/>
  <c r="AO73" i="12"/>
  <c r="I41" i="5"/>
  <c r="O40" i="5"/>
  <c r="V92" i="12"/>
  <c r="U92" i="12"/>
  <c r="T92" i="12"/>
  <c r="D38" i="12"/>
  <c r="E38" i="6"/>
  <c r="I72" i="10"/>
  <c r="AE9" i="10" s="1"/>
  <c r="I71" i="10"/>
  <c r="I70" i="10" s="1"/>
  <c r="Y9" i="10" s="1"/>
  <c r="D67" i="12"/>
  <c r="E67" i="6"/>
  <c r="T28" i="8"/>
  <c r="U28" i="8"/>
  <c r="G27" i="8"/>
  <c r="AC28" i="8"/>
  <c r="X28" i="8"/>
  <c r="D28" i="8"/>
  <c r="AB28" i="8"/>
  <c r="Y28" i="8"/>
  <c r="AD28" i="8"/>
  <c r="C26" i="8"/>
  <c r="AA28" i="8"/>
  <c r="G26" i="8"/>
  <c r="I27" i="8" s="1"/>
  <c r="AE28" i="8"/>
  <c r="F26" i="8"/>
  <c r="W28" i="8"/>
  <c r="Z28" i="8"/>
  <c r="F27" i="8"/>
  <c r="V28" i="8"/>
  <c r="C16" i="12"/>
  <c r="J16" i="12"/>
  <c r="D66" i="12"/>
  <c r="E66" i="6"/>
  <c r="E59" i="6"/>
  <c r="D59" i="12"/>
  <c r="Y101" i="12"/>
  <c r="AO96" i="12"/>
  <c r="N20" i="12"/>
  <c r="O16" i="12"/>
  <c r="O17" i="12"/>
  <c r="O73" i="12"/>
  <c r="N73" i="12" s="1"/>
  <c r="N74" i="12"/>
  <c r="T50" i="12"/>
  <c r="V50" i="12"/>
  <c r="U50" i="12"/>
  <c r="Q71" i="10"/>
  <c r="Q70" i="10" s="1"/>
  <c r="Q72" i="10"/>
  <c r="I69" i="5"/>
  <c r="O68" i="5"/>
  <c r="U19" i="8"/>
  <c r="AD19" i="8"/>
  <c r="Y19" i="8"/>
  <c r="G17" i="8"/>
  <c r="I18" i="8" s="1"/>
  <c r="Z19" i="8"/>
  <c r="W19" i="8"/>
  <c r="T19" i="8"/>
  <c r="V19" i="8"/>
  <c r="F17" i="8"/>
  <c r="G18" i="8"/>
  <c r="AB19" i="8"/>
  <c r="D19" i="8"/>
  <c r="F18" i="8"/>
  <c r="AA19" i="8"/>
  <c r="X19" i="8"/>
  <c r="AC19" i="8"/>
  <c r="AE19" i="8"/>
  <c r="C87" i="6"/>
  <c r="O87" i="5"/>
  <c r="T39" i="12"/>
  <c r="U39" i="12"/>
  <c r="V39" i="12"/>
  <c r="V22" i="12"/>
  <c r="T22" i="12"/>
  <c r="U22" i="12"/>
  <c r="N27" i="12"/>
  <c r="O25" i="12"/>
  <c r="N25" i="12" s="1"/>
  <c r="Y38" i="12"/>
  <c r="AO34" i="12"/>
  <c r="Y34" i="12" s="1"/>
  <c r="J25" i="12"/>
  <c r="C25" i="12"/>
  <c r="V40" i="12"/>
  <c r="T40" i="12"/>
  <c r="U40" i="12"/>
  <c r="D102" i="12"/>
  <c r="E102" i="6"/>
  <c r="W60" i="12"/>
  <c r="X60" i="12"/>
  <c r="K72" i="10"/>
  <c r="K71" i="10"/>
  <c r="K70" i="10" s="1"/>
  <c r="V118" i="12"/>
  <c r="T118" i="12"/>
  <c r="U118" i="12"/>
  <c r="U69" i="12"/>
  <c r="T69" i="12"/>
  <c r="V69" i="12"/>
  <c r="V53" i="12"/>
  <c r="U53" i="12"/>
  <c r="T53" i="12"/>
  <c r="U57" i="12"/>
  <c r="V57" i="12"/>
  <c r="T57" i="12"/>
  <c r="D55" i="8"/>
  <c r="T55" i="8"/>
  <c r="AE55" i="8"/>
  <c r="X55" i="8"/>
  <c r="AB55" i="8"/>
  <c r="AC55" i="8"/>
  <c r="AA55" i="8"/>
  <c r="Y55" i="8"/>
  <c r="AD55" i="8"/>
  <c r="F53" i="8"/>
  <c r="G53" i="8"/>
  <c r="I54" i="8" s="1"/>
  <c r="Z55" i="8"/>
  <c r="W55" i="8"/>
  <c r="G54" i="8"/>
  <c r="F54" i="8"/>
  <c r="V55" i="8"/>
  <c r="U55" i="8"/>
  <c r="C73" i="6"/>
  <c r="O73" i="5"/>
  <c r="U99" i="12"/>
  <c r="T99" i="12"/>
  <c r="V99" i="12"/>
  <c r="J73" i="12"/>
  <c r="C73" i="12"/>
  <c r="L73" i="12"/>
  <c r="O55" i="5"/>
  <c r="C55" i="6"/>
  <c r="V24" i="12"/>
  <c r="T24" i="12"/>
  <c r="U24" i="12"/>
  <c r="N101" i="12"/>
  <c r="O96" i="12"/>
  <c r="L96" i="12" s="1"/>
  <c r="D20" i="12"/>
  <c r="E20" i="6"/>
  <c r="L16" i="13"/>
  <c r="D16" i="13" s="1"/>
  <c r="C16" i="11"/>
  <c r="W16" i="11"/>
  <c r="C55" i="12"/>
  <c r="J55" i="12"/>
  <c r="T58" i="12"/>
  <c r="V58" i="12"/>
  <c r="U58" i="12"/>
  <c r="M96" i="12"/>
  <c r="Y20" i="12"/>
  <c r="AO16" i="12"/>
  <c r="AO17" i="12"/>
  <c r="G24" i="8"/>
  <c r="G23" i="8"/>
  <c r="I24" i="8" s="1"/>
  <c r="AE25" i="8"/>
  <c r="AE16" i="8" s="1"/>
  <c r="AE14" i="8" s="1"/>
  <c r="U25" i="8"/>
  <c r="U16" i="8" s="1"/>
  <c r="U14" i="8" s="1"/>
  <c r="AB25" i="8"/>
  <c r="Z25" i="8"/>
  <c r="F24" i="8"/>
  <c r="AA25" i="8"/>
  <c r="AA16" i="8" s="1"/>
  <c r="AA14" i="8" s="1"/>
  <c r="AD25" i="8"/>
  <c r="T25" i="8"/>
  <c r="F23" i="8"/>
  <c r="X25" i="8"/>
  <c r="AC25" i="8"/>
  <c r="Y25" i="8"/>
  <c r="Y16" i="8" s="1"/>
  <c r="Y14" i="8" s="1"/>
  <c r="V25" i="8"/>
  <c r="V16" i="8" s="1"/>
  <c r="V14" i="8" s="1"/>
  <c r="W25" i="8"/>
  <c r="W16" i="8" s="1"/>
  <c r="W14" i="8" s="1"/>
  <c r="D25" i="8"/>
  <c r="C96" i="12"/>
  <c r="J96" i="12"/>
  <c r="V109" i="12"/>
  <c r="U109" i="12"/>
  <c r="T109" i="12"/>
  <c r="N102" i="12"/>
  <c r="T114" i="12"/>
  <c r="U114" i="12"/>
  <c r="V114" i="12"/>
  <c r="D91" i="12"/>
  <c r="E91" i="6"/>
  <c r="M56" i="12"/>
  <c r="M55" i="12"/>
  <c r="U47" i="12"/>
  <c r="V47" i="12"/>
  <c r="T47" i="12"/>
  <c r="E75" i="6"/>
  <c r="D75" i="12"/>
  <c r="AC37" i="8"/>
  <c r="AC34" i="8" s="1"/>
  <c r="AC32" i="8" s="1"/>
  <c r="AB37" i="8"/>
  <c r="AB34" i="8" s="1"/>
  <c r="AB32" i="8" s="1"/>
  <c r="T37" i="8"/>
  <c r="T34" i="8" s="1"/>
  <c r="T32" i="8" s="1"/>
  <c r="Z37" i="8"/>
  <c r="G35" i="8"/>
  <c r="I36" i="8" s="1"/>
  <c r="D37" i="8"/>
  <c r="AE37" i="8"/>
  <c r="Y37" i="8"/>
  <c r="Y34" i="8" s="1"/>
  <c r="Y32" i="8" s="1"/>
  <c r="X37" i="8"/>
  <c r="X34" i="8" s="1"/>
  <c r="X32" i="8" s="1"/>
  <c r="G36" i="8"/>
  <c r="AA37" i="8"/>
  <c r="F36" i="8"/>
  <c r="V37" i="8"/>
  <c r="V34" i="8" s="1"/>
  <c r="V32" i="8" s="1"/>
  <c r="AD37" i="8"/>
  <c r="AD34" i="8" s="1"/>
  <c r="AD32" i="8" s="1"/>
  <c r="W37" i="8"/>
  <c r="W34" i="8" s="1"/>
  <c r="W32" i="8" s="1"/>
  <c r="U37" i="8"/>
  <c r="U34" i="8" s="1"/>
  <c r="U32" i="8" s="1"/>
  <c r="F35" i="8"/>
  <c r="AE34" i="8"/>
  <c r="AE32" i="8" s="1"/>
  <c r="O25" i="5"/>
  <c r="C25" i="6"/>
  <c r="G59" i="8"/>
  <c r="I60" i="8" s="1"/>
  <c r="Z61" i="8"/>
  <c r="T61" i="8"/>
  <c r="T52" i="8" s="1"/>
  <c r="T50" i="8" s="1"/>
  <c r="G60" i="8"/>
  <c r="AD61" i="8"/>
  <c r="Y61" i="8"/>
  <c r="U61" i="8"/>
  <c r="U52" i="8" s="1"/>
  <c r="U50" i="8" s="1"/>
  <c r="AB61" i="8"/>
  <c r="W61" i="8"/>
  <c r="AC61" i="8"/>
  <c r="AE61" i="8"/>
  <c r="D61" i="8"/>
  <c r="X61" i="8"/>
  <c r="X52" i="8" s="1"/>
  <c r="X50" i="8" s="1"/>
  <c r="V61" i="8"/>
  <c r="V52" i="8" s="1"/>
  <c r="V50" i="8" s="1"/>
  <c r="F59" i="8"/>
  <c r="F60" i="8"/>
  <c r="AA61" i="8"/>
  <c r="U65" i="12"/>
  <c r="T65" i="12"/>
  <c r="V65" i="12"/>
  <c r="E106" i="6"/>
  <c r="D106" i="12"/>
  <c r="Y31" i="12"/>
  <c r="S71" i="10"/>
  <c r="S70" i="10" s="1"/>
  <c r="S72" i="10"/>
  <c r="V94" i="12"/>
  <c r="U94" i="12"/>
  <c r="T94" i="12"/>
  <c r="Y59" i="12"/>
  <c r="AO55" i="12"/>
  <c r="AO56" i="12"/>
  <c r="Y103" i="12"/>
  <c r="W21" i="12"/>
  <c r="X21" i="12"/>
  <c r="I77" i="5"/>
  <c r="O76" i="5"/>
  <c r="C64" i="6"/>
  <c r="O64" i="5"/>
  <c r="U110" i="12"/>
  <c r="V110" i="12"/>
  <c r="T110" i="12"/>
  <c r="AB87" i="5"/>
  <c r="AB16" i="11" s="1"/>
  <c r="N16" i="11" s="1"/>
  <c r="AB88" i="5"/>
  <c r="C53" i="8" s="1"/>
  <c r="I108" i="5"/>
  <c r="O107" i="5"/>
  <c r="W102" i="12"/>
  <c r="X102" i="12"/>
  <c r="O71" i="10"/>
  <c r="O70" i="10" s="1"/>
  <c r="O72" i="10"/>
  <c r="T29" i="12"/>
  <c r="V29" i="12"/>
  <c r="U29" i="12"/>
  <c r="U19" i="12"/>
  <c r="V19" i="12"/>
  <c r="T19" i="12"/>
  <c r="U116" i="12"/>
  <c r="V116" i="12"/>
  <c r="T116" i="12"/>
  <c r="AA71" i="10"/>
  <c r="AA70" i="10" s="1"/>
  <c r="AA72" i="10"/>
  <c r="AE72" i="10"/>
  <c r="AE71" i="10"/>
  <c r="AE70" i="10" s="1"/>
  <c r="AC11" i="5"/>
  <c r="N59" i="12"/>
  <c r="O56" i="12"/>
  <c r="O55" i="12"/>
  <c r="Y66" i="12"/>
  <c r="AO64" i="12"/>
  <c r="U71" i="10"/>
  <c r="U70" i="10" s="1"/>
  <c r="U72" i="10"/>
  <c r="Y71" i="10"/>
  <c r="Y70" i="10" s="1"/>
  <c r="Y72" i="10"/>
  <c r="L14" i="13"/>
  <c r="W14" i="11"/>
  <c r="O24" i="11"/>
  <c r="C14" i="11"/>
  <c r="T26" i="12"/>
  <c r="V26" i="12"/>
  <c r="U26" i="12"/>
  <c r="Y33" i="12"/>
  <c r="E27" i="6"/>
  <c r="D27" i="12"/>
  <c r="C88" i="6"/>
  <c r="O88" i="5"/>
  <c r="W71" i="12"/>
  <c r="X71" i="12"/>
  <c r="O104" i="5"/>
  <c r="C104" i="6"/>
  <c r="O96" i="5"/>
  <c r="C96" i="6"/>
  <c r="N32" i="12"/>
  <c r="N66" i="12"/>
  <c r="O64" i="12"/>
  <c r="AC71" i="10"/>
  <c r="AC70" i="10" s="1"/>
  <c r="AC72" i="10"/>
  <c r="Q69" i="8"/>
  <c r="H69" i="8" s="1"/>
  <c r="G15" i="8"/>
  <c r="F15" i="8"/>
  <c r="G14" i="8"/>
  <c r="I15" i="8" s="1"/>
  <c r="F14" i="8"/>
  <c r="T35" i="12"/>
  <c r="U35" i="12"/>
  <c r="V35" i="12"/>
  <c r="AE52" i="8" l="1"/>
  <c r="AE50" i="8" s="1"/>
  <c r="Y16" i="12"/>
  <c r="Z16" i="8"/>
  <c r="Z14" i="8" s="1"/>
  <c r="AB16" i="8"/>
  <c r="AB14" i="8" s="1"/>
  <c r="Y88" i="12"/>
  <c r="Z34" i="8"/>
  <c r="Z32" i="8" s="1"/>
  <c r="AA34" i="8"/>
  <c r="AA32" i="8" s="1"/>
  <c r="T16" i="8"/>
  <c r="T14" i="8" s="1"/>
  <c r="K96" i="12"/>
  <c r="Y17" i="12"/>
  <c r="L34" i="12"/>
  <c r="K34" i="12" s="1"/>
  <c r="D34" i="8"/>
  <c r="D32" i="8" s="1"/>
  <c r="D16" i="8"/>
  <c r="K104" i="12"/>
  <c r="Y87" i="12"/>
  <c r="AD16" i="8"/>
  <c r="AD14" i="8" s="1"/>
  <c r="AA52" i="8"/>
  <c r="AA50" i="8" s="1"/>
  <c r="T77" i="8" a="1"/>
  <c r="T77" i="8" s="1"/>
  <c r="T72" i="8" s="1"/>
  <c r="D52" i="8"/>
  <c r="D50" i="8" s="1"/>
  <c r="D77" i="8" s="1" a="1"/>
  <c r="D77" i="8" s="1"/>
  <c r="D72" i="8" s="1"/>
  <c r="L25" i="12"/>
  <c r="K25" i="12" s="1"/>
  <c r="Z52" i="8"/>
  <c r="Z50" i="8" s="1"/>
  <c r="AC16" i="8"/>
  <c r="AC14" i="8" s="1"/>
  <c r="AD52" i="8"/>
  <c r="AD50" i="8" s="1"/>
  <c r="X16" i="8"/>
  <c r="X14" i="8" s="1"/>
  <c r="Y64" i="12"/>
  <c r="N96" i="12"/>
  <c r="L56" i="12"/>
  <c r="K56" i="12" s="1"/>
  <c r="N56" i="12"/>
  <c r="X59" i="12"/>
  <c r="W59" i="12"/>
  <c r="W17" i="12"/>
  <c r="X17" i="12"/>
  <c r="T60" i="12"/>
  <c r="U60" i="12"/>
  <c r="V60" i="12"/>
  <c r="D68" i="12"/>
  <c r="E68" i="6"/>
  <c r="Y96" i="12"/>
  <c r="D17" i="12"/>
  <c r="E17" i="6"/>
  <c r="H17" i="8"/>
  <c r="AK16" i="13"/>
  <c r="S16" i="13" s="1"/>
  <c r="AL16" i="13"/>
  <c r="M16" i="13" s="1"/>
  <c r="AB52" i="8"/>
  <c r="AB50" i="8" s="1"/>
  <c r="T71" i="12"/>
  <c r="V71" i="12"/>
  <c r="U71" i="12"/>
  <c r="W16" i="12"/>
  <c r="X16" i="12"/>
  <c r="O69" i="5"/>
  <c r="I70" i="5"/>
  <c r="X101" i="12"/>
  <c r="W101" i="12"/>
  <c r="AB24" i="11"/>
  <c r="AB7" i="11" s="1"/>
  <c r="N14" i="11"/>
  <c r="N24" i="11" s="1"/>
  <c r="W20" i="12"/>
  <c r="X20" i="12"/>
  <c r="E40" i="6"/>
  <c r="D40" i="12"/>
  <c r="E34" i="6"/>
  <c r="D34" i="12"/>
  <c r="H26" i="8"/>
  <c r="E88" i="6"/>
  <c r="H53" i="8"/>
  <c r="D88" i="12"/>
  <c r="O25" i="11"/>
  <c r="AA7" i="11"/>
  <c r="E64" i="6"/>
  <c r="H41" i="8"/>
  <c r="D64" i="12"/>
  <c r="I42" i="5"/>
  <c r="O41" i="5"/>
  <c r="Y25" i="12"/>
  <c r="T70" i="12"/>
  <c r="V70" i="12"/>
  <c r="U70" i="12"/>
  <c r="L28" i="13"/>
  <c r="V14" i="13"/>
  <c r="D14" i="13"/>
  <c r="Y73" i="12"/>
  <c r="W27" i="12"/>
  <c r="X27" i="12"/>
  <c r="Y104" i="12"/>
  <c r="L64" i="12"/>
  <c r="K64" i="12" s="1"/>
  <c r="N64" i="12"/>
  <c r="AL15" i="13"/>
  <c r="M15" i="13" s="1"/>
  <c r="AK15" i="13"/>
  <c r="S15" i="13" s="1"/>
  <c r="D73" i="12"/>
  <c r="H44" i="8"/>
  <c r="E73" i="6"/>
  <c r="W74" i="12"/>
  <c r="X74" i="12"/>
  <c r="W105" i="12"/>
  <c r="X105" i="12"/>
  <c r="E76" i="6"/>
  <c r="D76" i="12"/>
  <c r="W33" i="12"/>
  <c r="X33" i="12"/>
  <c r="I78" i="5"/>
  <c r="O77" i="5"/>
  <c r="X31" i="12"/>
  <c r="W31" i="12"/>
  <c r="E25" i="6"/>
  <c r="D25" i="12"/>
  <c r="H23" i="8"/>
  <c r="X32" i="12"/>
  <c r="W32" i="12"/>
  <c r="T102" i="12"/>
  <c r="U102" i="12"/>
  <c r="V102" i="12"/>
  <c r="D14" i="8"/>
  <c r="H50" i="8"/>
  <c r="D87" i="12"/>
  <c r="E87" i="6"/>
  <c r="AL14" i="13"/>
  <c r="M14" i="13" s="1"/>
  <c r="AK14" i="13"/>
  <c r="S14" i="13" s="1"/>
  <c r="W88" i="12"/>
  <c r="X88" i="12"/>
  <c r="N88" i="12"/>
  <c r="D107" i="12"/>
  <c r="E107" i="6"/>
  <c r="T21" i="12"/>
  <c r="U21" i="12"/>
  <c r="V21" i="12"/>
  <c r="W87" i="12"/>
  <c r="X87" i="12"/>
  <c r="AN16" i="13"/>
  <c r="U16" i="13" s="1"/>
  <c r="AO16" i="13"/>
  <c r="O16" i="13" s="1"/>
  <c r="N87" i="12"/>
  <c r="L88" i="12"/>
  <c r="K88" i="12" s="1"/>
  <c r="D56" i="12"/>
  <c r="E56" i="6"/>
  <c r="H35" i="8"/>
  <c r="I109" i="5"/>
  <c r="O108" i="5"/>
  <c r="W103" i="12"/>
  <c r="X103" i="12"/>
  <c r="W34" i="12"/>
  <c r="X34" i="12"/>
  <c r="L17" i="12"/>
  <c r="K17" i="12" s="1"/>
  <c r="N17" i="12"/>
  <c r="W91" i="12"/>
  <c r="X91" i="12"/>
  <c r="Y52" i="8"/>
  <c r="Y50" i="8" s="1"/>
  <c r="X64" i="12"/>
  <c r="W64" i="12"/>
  <c r="W66" i="12"/>
  <c r="X66" i="12"/>
  <c r="Y56" i="12"/>
  <c r="H32" i="8"/>
  <c r="E55" i="6"/>
  <c r="D55" i="12"/>
  <c r="X38" i="12"/>
  <c r="W38" i="12"/>
  <c r="L16" i="12"/>
  <c r="K16" i="12" s="1"/>
  <c r="N16" i="12"/>
  <c r="AN14" i="13"/>
  <c r="U14" i="13" s="1"/>
  <c r="AO14" i="13"/>
  <c r="O14" i="13" s="1"/>
  <c r="E29" i="6"/>
  <c r="D29" i="12"/>
  <c r="E16" i="6"/>
  <c r="H14" i="8"/>
  <c r="D16" i="12"/>
  <c r="W52" i="8"/>
  <c r="W50" i="8" s="1"/>
  <c r="E96" i="6"/>
  <c r="H59" i="8"/>
  <c r="D96" i="12"/>
  <c r="D104" i="12"/>
  <c r="H62" i="8"/>
  <c r="E104" i="6"/>
  <c r="L55" i="12"/>
  <c r="K55" i="12" s="1"/>
  <c r="N55" i="12"/>
  <c r="AO15" i="13"/>
  <c r="O15" i="13" s="1"/>
  <c r="AN15" i="13"/>
  <c r="U15" i="13" s="1"/>
  <c r="Y55" i="12"/>
  <c r="K73" i="12"/>
  <c r="O30" i="5"/>
  <c r="I31" i="5"/>
  <c r="U113" i="12"/>
  <c r="V113" i="12"/>
  <c r="T113" i="12"/>
  <c r="AC52" i="8"/>
  <c r="AC50" i="8" s="1"/>
  <c r="T78" i="8" l="1"/>
  <c r="D78" i="8"/>
  <c r="AD4" i="13"/>
  <c r="U77" i="8" a="1"/>
  <c r="U77" i="8" s="1"/>
  <c r="U72" i="8" s="1"/>
  <c r="M27" i="13"/>
  <c r="V66" i="12"/>
  <c r="T66" i="12"/>
  <c r="U66" i="12"/>
  <c r="E108" i="6"/>
  <c r="D108" i="12"/>
  <c r="V15" i="13"/>
  <c r="V16" i="13" s="1"/>
  <c r="V17" i="13" s="1"/>
  <c r="V18" i="13" s="1"/>
  <c r="V19" i="13" s="1"/>
  <c r="V20" i="13" s="1"/>
  <c r="V21" i="13" s="1"/>
  <c r="V22" i="13" s="1"/>
  <c r="V23" i="13" s="1"/>
  <c r="I13" i="14" s="1"/>
  <c r="J13" i="14" s="1"/>
  <c r="K13" i="14" s="1"/>
  <c r="L13" i="14" s="1"/>
  <c r="T17" i="12"/>
  <c r="U17" i="12"/>
  <c r="V17" i="12"/>
  <c r="D77" i="12"/>
  <c r="E77" i="6"/>
  <c r="L24" i="13"/>
  <c r="D33" i="14"/>
  <c r="T101" i="12"/>
  <c r="V101" i="12"/>
  <c r="U101" i="12"/>
  <c r="V59" i="12"/>
  <c r="T59" i="12"/>
  <c r="U59" i="12"/>
  <c r="I79" i="5"/>
  <c r="O78" i="5"/>
  <c r="I110" i="5"/>
  <c r="O109" i="5"/>
  <c r="I71" i="5"/>
  <c r="O70" i="5"/>
  <c r="T64" i="12"/>
  <c r="U64" i="12"/>
  <c r="V64" i="12"/>
  <c r="D30" i="12"/>
  <c r="E30" i="6"/>
  <c r="U33" i="12"/>
  <c r="T33" i="12"/>
  <c r="V33" i="12"/>
  <c r="E69" i="6"/>
  <c r="D69" i="12"/>
  <c r="U38" i="12"/>
  <c r="V38" i="12"/>
  <c r="T38" i="12"/>
  <c r="U91" i="12"/>
  <c r="V91" i="12"/>
  <c r="T91" i="12"/>
  <c r="W25" i="12"/>
  <c r="X25" i="12"/>
  <c r="W96" i="12"/>
  <c r="X96" i="12"/>
  <c r="D74" i="8"/>
  <c r="D73" i="8"/>
  <c r="D69" i="8" s="1"/>
  <c r="N14" i="13"/>
  <c r="P14" i="13"/>
  <c r="O28" i="13"/>
  <c r="I32" i="5"/>
  <c r="O31" i="5"/>
  <c r="X55" i="12"/>
  <c r="W55" i="12"/>
  <c r="T88" i="12"/>
  <c r="V88" i="12"/>
  <c r="U88" i="12"/>
  <c r="U32" i="12"/>
  <c r="T32" i="12"/>
  <c r="V32" i="12"/>
  <c r="E41" i="6"/>
  <c r="D41" i="12"/>
  <c r="V16" i="12"/>
  <c r="T16" i="12"/>
  <c r="U16" i="12"/>
  <c r="W104" i="12"/>
  <c r="X104" i="12"/>
  <c r="I43" i="5"/>
  <c r="O42" i="5"/>
  <c r="V105" i="12"/>
  <c r="U105" i="12"/>
  <c r="T105" i="12"/>
  <c r="P15" i="13"/>
  <c r="N15" i="13"/>
  <c r="T34" i="12"/>
  <c r="V34" i="12"/>
  <c r="U34" i="12"/>
  <c r="M28" i="13"/>
  <c r="V27" i="12"/>
  <c r="T27" i="12"/>
  <c r="U27" i="12"/>
  <c r="T73" i="8"/>
  <c r="T69" i="8" s="1"/>
  <c r="U78" i="8"/>
  <c r="T74" i="8"/>
  <c r="P16" i="13"/>
  <c r="N16" i="13"/>
  <c r="X56" i="12"/>
  <c r="W56" i="12"/>
  <c r="V87" i="12"/>
  <c r="T87" i="12"/>
  <c r="U87" i="12"/>
  <c r="V74" i="12"/>
  <c r="T74" i="12"/>
  <c r="U74" i="12"/>
  <c r="X73" i="12"/>
  <c r="W73" i="12"/>
  <c r="V20" i="12"/>
  <c r="U20" i="12"/>
  <c r="T20" i="12"/>
  <c r="V103" i="12"/>
  <c r="T103" i="12"/>
  <c r="U103" i="12"/>
  <c r="V31" i="12"/>
  <c r="T31" i="12"/>
  <c r="U31" i="12"/>
  <c r="Z3" i="11"/>
  <c r="AA3" i="11" s="1"/>
  <c r="L27" i="13"/>
  <c r="D32" i="14" s="1"/>
  <c r="N25" i="11"/>
  <c r="V77" i="8" l="1" a="1"/>
  <c r="V77" i="8" s="1"/>
  <c r="I8" i="14"/>
  <c r="J8" i="14" s="1"/>
  <c r="K8" i="14" s="1"/>
  <c r="L8" i="14" s="1"/>
  <c r="T96" i="12"/>
  <c r="U96" i="12"/>
  <c r="V96" i="12"/>
  <c r="I80" i="5"/>
  <c r="O79" i="5"/>
  <c r="I15" i="14"/>
  <c r="J15" i="14" s="1"/>
  <c r="K15" i="14" s="1"/>
  <c r="L15" i="14" s="1"/>
  <c r="I6" i="14"/>
  <c r="J6" i="14" s="1"/>
  <c r="K6" i="14" s="1"/>
  <c r="L6" i="14" s="1"/>
  <c r="I31" i="14"/>
  <c r="J31" i="14" s="1"/>
  <c r="K31" i="14" s="1"/>
  <c r="L31" i="14" s="1"/>
  <c r="I16" i="14"/>
  <c r="J16" i="14" s="1"/>
  <c r="K16" i="14" s="1"/>
  <c r="L16" i="14" s="1"/>
  <c r="U56" i="12"/>
  <c r="T56" i="12"/>
  <c r="V56" i="12"/>
  <c r="V104" i="12"/>
  <c r="U104" i="12"/>
  <c r="T104" i="12"/>
  <c r="V55" i="12"/>
  <c r="U55" i="12"/>
  <c r="T55" i="12"/>
  <c r="I9" i="14"/>
  <c r="J9" i="14" s="1"/>
  <c r="K9" i="14" s="1"/>
  <c r="L9" i="14" s="1"/>
  <c r="I35" i="14"/>
  <c r="J35" i="14" s="1"/>
  <c r="K35" i="14" s="1"/>
  <c r="L35" i="14" s="1"/>
  <c r="I40" i="14"/>
  <c r="J40" i="14" s="1"/>
  <c r="K40" i="14" s="1"/>
  <c r="L40" i="14" s="1"/>
  <c r="V25" i="12"/>
  <c r="T25" i="12"/>
  <c r="U25" i="12"/>
  <c r="I23" i="14"/>
  <c r="J23" i="14" s="1"/>
  <c r="K23" i="14" s="1"/>
  <c r="L23" i="14" s="1"/>
  <c r="I28" i="14"/>
  <c r="J28" i="14" s="1"/>
  <c r="K28" i="14" s="1"/>
  <c r="L28" i="14" s="1"/>
  <c r="I17" i="14"/>
  <c r="J17" i="14" s="1"/>
  <c r="K17" i="14" s="1"/>
  <c r="L17" i="14" s="1"/>
  <c r="I14" i="14"/>
  <c r="J14" i="14" s="1"/>
  <c r="K14" i="14" s="1"/>
  <c r="L14" i="14" s="1"/>
  <c r="E31" i="6"/>
  <c r="D31" i="12"/>
  <c r="I36" i="14"/>
  <c r="J36" i="14" s="1"/>
  <c r="K36" i="14" s="1"/>
  <c r="L36" i="14" s="1"/>
  <c r="I20" i="14"/>
  <c r="J20" i="14" s="1"/>
  <c r="K20" i="14" s="1"/>
  <c r="L20" i="14" s="1"/>
  <c r="I39" i="14"/>
  <c r="J39" i="14" s="1"/>
  <c r="K39" i="14" s="1"/>
  <c r="L39" i="14" s="1"/>
  <c r="I46" i="14"/>
  <c r="J46" i="14" s="1"/>
  <c r="K46" i="14" s="1"/>
  <c r="L46" i="14" s="1"/>
  <c r="T73" i="12"/>
  <c r="U73" i="12"/>
  <c r="V73" i="12"/>
  <c r="I33" i="5"/>
  <c r="O33" i="5" s="1"/>
  <c r="O32" i="5"/>
  <c r="I27" i="14"/>
  <c r="J27" i="14" s="1"/>
  <c r="K27" i="14" s="1"/>
  <c r="L27" i="14" s="1"/>
  <c r="I19" i="14"/>
  <c r="J19" i="14" s="1"/>
  <c r="K19" i="14" s="1"/>
  <c r="L19" i="14" s="1"/>
  <c r="I33" i="14"/>
  <c r="J33" i="14" s="1"/>
  <c r="K33" i="14" s="1"/>
  <c r="L33" i="14" s="1"/>
  <c r="I42" i="14"/>
  <c r="J42" i="14" s="1"/>
  <c r="K42" i="14" s="1"/>
  <c r="L42" i="14" s="1"/>
  <c r="N28" i="13"/>
  <c r="AE4" i="13" s="1"/>
  <c r="O27" i="13" s="1"/>
  <c r="AD27" i="13"/>
  <c r="AD6" i="13"/>
  <c r="AE6" i="13" s="1"/>
  <c r="AC27" i="13"/>
  <c r="O24" i="13"/>
  <c r="P24" i="13"/>
  <c r="F33" i="14"/>
  <c r="I44" i="14"/>
  <c r="J44" i="14" s="1"/>
  <c r="K44" i="14" s="1"/>
  <c r="L44" i="14" s="1"/>
  <c r="I30" i="14"/>
  <c r="J30" i="14" s="1"/>
  <c r="K30" i="14" s="1"/>
  <c r="L30" i="14" s="1"/>
  <c r="I25" i="14"/>
  <c r="J25" i="14" s="1"/>
  <c r="K25" i="14" s="1"/>
  <c r="L25" i="14" s="1"/>
  <c r="I21" i="14"/>
  <c r="J21" i="14" s="1"/>
  <c r="K21" i="14" s="1"/>
  <c r="L21" i="14" s="1"/>
  <c r="AD17" i="11"/>
  <c r="AD15" i="11"/>
  <c r="AD16" i="11"/>
  <c r="AD19" i="11"/>
  <c r="AD12" i="11"/>
  <c r="AD20" i="11"/>
  <c r="AD18" i="11"/>
  <c r="AD22" i="11"/>
  <c r="AD14" i="11"/>
  <c r="AD23" i="11"/>
  <c r="AD21" i="11"/>
  <c r="AA36" i="5"/>
  <c r="AA107" i="5"/>
  <c r="AA81" i="5"/>
  <c r="AA18" i="5"/>
  <c r="AA49" i="5"/>
  <c r="AA99" i="5"/>
  <c r="AA89" i="5"/>
  <c r="AA86" i="5"/>
  <c r="AA109" i="5"/>
  <c r="AA22" i="5"/>
  <c r="AA85" i="5"/>
  <c r="AA41" i="5"/>
  <c r="AA57" i="5"/>
  <c r="AA75" i="5"/>
  <c r="AA100" i="5"/>
  <c r="AA61" i="5"/>
  <c r="AA110" i="5"/>
  <c r="AA106" i="5"/>
  <c r="AA37" i="5"/>
  <c r="AA48" i="5"/>
  <c r="AA44" i="5"/>
  <c r="AA65" i="5"/>
  <c r="AA23" i="5"/>
  <c r="AA50" i="5"/>
  <c r="AA47" i="5"/>
  <c r="AA111" i="5"/>
  <c r="AA76" i="5"/>
  <c r="AA40" i="5"/>
  <c r="AA77" i="5"/>
  <c r="AA24" i="5"/>
  <c r="AA118" i="5"/>
  <c r="AA83" i="5"/>
  <c r="AA26" i="5"/>
  <c r="AA115" i="5"/>
  <c r="AA63" i="5"/>
  <c r="AA19" i="5"/>
  <c r="AA39" i="5"/>
  <c r="AA58" i="5"/>
  <c r="AA51" i="5"/>
  <c r="AA95" i="5"/>
  <c r="AA53" i="5"/>
  <c r="AA28" i="5"/>
  <c r="AA52" i="5"/>
  <c r="AA30" i="5"/>
  <c r="AA80" i="5"/>
  <c r="AA116" i="5"/>
  <c r="AA29" i="5"/>
  <c r="AA35" i="5"/>
  <c r="AA54" i="5"/>
  <c r="AA62" i="5"/>
  <c r="AA60" i="5" s="1"/>
  <c r="B38" i="8" s="1"/>
  <c r="AA117" i="5"/>
  <c r="AA45" i="5"/>
  <c r="AA114" i="5"/>
  <c r="AA112" i="5"/>
  <c r="AA97" i="5"/>
  <c r="AA72" i="5"/>
  <c r="AA79" i="5"/>
  <c r="AA78" i="5"/>
  <c r="AA43" i="5"/>
  <c r="AA98" i="5"/>
  <c r="AA68" i="5"/>
  <c r="AA94" i="5"/>
  <c r="AA69" i="5"/>
  <c r="AA93" i="5"/>
  <c r="AA42" i="5"/>
  <c r="AA84" i="5"/>
  <c r="AA108" i="5"/>
  <c r="AA90" i="5"/>
  <c r="AA67" i="5"/>
  <c r="AA66" i="5"/>
  <c r="AA70" i="5"/>
  <c r="AA20" i="5"/>
  <c r="AA31" i="5"/>
  <c r="AA71" i="5"/>
  <c r="AA102" i="5"/>
  <c r="AA91" i="5"/>
  <c r="AA74" i="5"/>
  <c r="AA27" i="5"/>
  <c r="AA103" i="5"/>
  <c r="AA33" i="5"/>
  <c r="AA59" i="5"/>
  <c r="AA38" i="5"/>
  <c r="AA101" i="5"/>
  <c r="AA105" i="5"/>
  <c r="AA32" i="5"/>
  <c r="E70" i="6"/>
  <c r="D70" i="12"/>
  <c r="I32" i="14"/>
  <c r="J32" i="14" s="1"/>
  <c r="K32" i="14" s="1"/>
  <c r="L32" i="14" s="1"/>
  <c r="I38" i="14"/>
  <c r="J38" i="14" s="1"/>
  <c r="K38" i="14" s="1"/>
  <c r="L38" i="14" s="1"/>
  <c r="I41" i="14"/>
  <c r="J41" i="14" s="1"/>
  <c r="K41" i="14" s="1"/>
  <c r="L41" i="14" s="1"/>
  <c r="W77" i="8" a="1"/>
  <c r="W77" i="8" s="1"/>
  <c r="V72" i="8"/>
  <c r="I72" i="5"/>
  <c r="O72" i="5" s="1"/>
  <c r="O71" i="5"/>
  <c r="I45" i="14"/>
  <c r="J45" i="14" s="1"/>
  <c r="K45" i="14" s="1"/>
  <c r="L45" i="14" s="1"/>
  <c r="I12" i="14"/>
  <c r="J12" i="14" s="1"/>
  <c r="K12" i="14" s="1"/>
  <c r="L12" i="14" s="1"/>
  <c r="I10" i="14"/>
  <c r="J10" i="14" s="1"/>
  <c r="K10" i="14" s="1"/>
  <c r="L10" i="14" s="1"/>
  <c r="V78" i="8"/>
  <c r="U74" i="8"/>
  <c r="U73" i="8"/>
  <c r="U69" i="8" s="1"/>
  <c r="E109" i="6"/>
  <c r="D109" i="12"/>
  <c r="I43" i="14"/>
  <c r="J43" i="14" s="1"/>
  <c r="K43" i="14" s="1"/>
  <c r="L43" i="14" s="1"/>
  <c r="I34" i="14"/>
  <c r="J34" i="14" s="1"/>
  <c r="K34" i="14" s="1"/>
  <c r="L34" i="14" s="1"/>
  <c r="I22" i="14"/>
  <c r="J22" i="14" s="1"/>
  <c r="K22" i="14" s="1"/>
  <c r="L22" i="14" s="1"/>
  <c r="I29" i="14"/>
  <c r="J29" i="14" s="1"/>
  <c r="K29" i="14" s="1"/>
  <c r="L29" i="14" s="1"/>
  <c r="D42" i="12"/>
  <c r="E42" i="6"/>
  <c r="I111" i="5"/>
  <c r="O110" i="5"/>
  <c r="I24" i="14"/>
  <c r="J24" i="14" s="1"/>
  <c r="K24" i="14" s="1"/>
  <c r="L24" i="14" s="1"/>
  <c r="I7" i="14"/>
  <c r="J7" i="14" s="1"/>
  <c r="K7" i="14" s="1"/>
  <c r="L7" i="14" s="1"/>
  <c r="I26" i="14"/>
  <c r="J26" i="14" s="1"/>
  <c r="K26" i="14" s="1"/>
  <c r="L26" i="14" s="1"/>
  <c r="M24" i="13"/>
  <c r="O29" i="13"/>
  <c r="I44" i="5"/>
  <c r="O43" i="5"/>
  <c r="D78" i="12"/>
  <c r="E78" i="6"/>
  <c r="I18" i="14"/>
  <c r="J18" i="14" s="1"/>
  <c r="K18" i="14" s="1"/>
  <c r="L18" i="14" s="1"/>
  <c r="I11" i="14"/>
  <c r="J11" i="14" s="1"/>
  <c r="K11" i="14" s="1"/>
  <c r="L11" i="14" s="1"/>
  <c r="I37" i="14"/>
  <c r="J37" i="14" s="1"/>
  <c r="K37" i="14" s="1"/>
  <c r="L37" i="14" s="1"/>
  <c r="AA92" i="5" l="1"/>
  <c r="B56" i="8" s="1"/>
  <c r="AA21" i="5"/>
  <c r="B20" i="8" s="1"/>
  <c r="AA104" i="5"/>
  <c r="B62" i="8" s="1"/>
  <c r="AE21" i="11"/>
  <c r="M21" i="11" s="1"/>
  <c r="L21" i="11" s="1"/>
  <c r="N27" i="13"/>
  <c r="E32" i="14" s="1"/>
  <c r="F32" i="14"/>
  <c r="E43" i="6"/>
  <c r="D43" i="12"/>
  <c r="AE16" i="11"/>
  <c r="I45" i="5"/>
  <c r="O45" i="5" s="1"/>
  <c r="O44" i="5"/>
  <c r="E71" i="6"/>
  <c r="D71" i="12"/>
  <c r="E72" i="6"/>
  <c r="D72" i="12"/>
  <c r="AE20" i="11"/>
  <c r="M20" i="11" s="1"/>
  <c r="L20" i="11" s="1"/>
  <c r="AA64" i="5"/>
  <c r="B41" i="8" s="1"/>
  <c r="AA25" i="5"/>
  <c r="B23" i="8" s="1"/>
  <c r="AE23" i="11"/>
  <c r="M23" i="11" s="1"/>
  <c r="L23" i="11" s="1"/>
  <c r="AE22" i="11"/>
  <c r="M22" i="11" s="1"/>
  <c r="L22" i="11" s="1"/>
  <c r="AA96" i="5"/>
  <c r="B59" i="8" s="1"/>
  <c r="AA82" i="5"/>
  <c r="B47" i="8" s="1"/>
  <c r="AE12" i="11"/>
  <c r="M12" i="11" s="1"/>
  <c r="L12" i="11" s="1"/>
  <c r="E34" i="14"/>
  <c r="E33" i="14"/>
  <c r="N24" i="13"/>
  <c r="AA113" i="5"/>
  <c r="B65" i="8" s="1"/>
  <c r="AE17" i="11"/>
  <c r="M17" i="11" s="1"/>
  <c r="L17" i="11" s="1"/>
  <c r="AA88" i="5"/>
  <c r="B53" i="8" s="1"/>
  <c r="AA87" i="5"/>
  <c r="AA73" i="5"/>
  <c r="B44" i="8" s="1"/>
  <c r="AE19" i="11"/>
  <c r="M19" i="11" s="1"/>
  <c r="L19" i="11" s="1"/>
  <c r="E79" i="6"/>
  <c r="D79" i="12"/>
  <c r="E110" i="6"/>
  <c r="D110" i="12"/>
  <c r="I81" i="5"/>
  <c r="O81" i="5" s="1"/>
  <c r="O80" i="5"/>
  <c r="I112" i="5"/>
  <c r="O112" i="5" s="1"/>
  <c r="O111" i="5"/>
  <c r="AA46" i="5"/>
  <c r="B29" i="8" s="1"/>
  <c r="AA16" i="5"/>
  <c r="AA15" i="5"/>
  <c r="AE18" i="11"/>
  <c r="M18" i="11" s="1"/>
  <c r="L18" i="11" s="1"/>
  <c r="E32" i="6"/>
  <c r="D32" i="12"/>
  <c r="V74" i="8"/>
  <c r="W78" i="8"/>
  <c r="V73" i="8"/>
  <c r="V69" i="8" s="1"/>
  <c r="AE15" i="11"/>
  <c r="F34" i="14"/>
  <c r="G10" i="13"/>
  <c r="E33" i="6"/>
  <c r="D33" i="12"/>
  <c r="W72" i="8"/>
  <c r="X77" i="8" a="1"/>
  <c r="X77" i="8" s="1"/>
  <c r="AA17" i="5"/>
  <c r="B17" i="8" s="1"/>
  <c r="AA34" i="5"/>
  <c r="B26" i="8" s="1"/>
  <c r="D76" i="8" s="1" a="1"/>
  <c r="D76" i="8" s="1"/>
  <c r="AA56" i="5"/>
  <c r="B35" i="8" s="1"/>
  <c r="AA55" i="5"/>
  <c r="AE14" i="11"/>
  <c r="T76" i="8" l="1" a="1"/>
  <c r="T76" i="8" s="1"/>
  <c r="U76" i="8" s="1" a="1"/>
  <c r="U76" i="8" s="1"/>
  <c r="D80" i="12"/>
  <c r="E80" i="6"/>
  <c r="E81" i="6"/>
  <c r="D81" i="12"/>
  <c r="W74" i="8"/>
  <c r="W73" i="8"/>
  <c r="W69" i="8" s="1"/>
  <c r="X78" i="8"/>
  <c r="D71" i="8"/>
  <c r="D75" i="8"/>
  <c r="D70" i="8" s="1"/>
  <c r="D44" i="12"/>
  <c r="E44" i="6"/>
  <c r="E45" i="6"/>
  <c r="D45" i="12"/>
  <c r="Y77" i="8" a="1"/>
  <c r="Y77" i="8" s="1"/>
  <c r="X72" i="8"/>
  <c r="AA15" i="11"/>
  <c r="AM15" i="13"/>
  <c r="T15" i="13" s="1"/>
  <c r="AJ15" i="13"/>
  <c r="R15" i="13" s="1"/>
  <c r="AM16" i="13"/>
  <c r="T16" i="13" s="1"/>
  <c r="AA16" i="11"/>
  <c r="AJ16" i="13"/>
  <c r="R16" i="13" s="1"/>
  <c r="E111" i="6"/>
  <c r="D111" i="12"/>
  <c r="AA14" i="11"/>
  <c r="AJ14" i="13"/>
  <c r="R14" i="13" s="1"/>
  <c r="AM14" i="13"/>
  <c r="T14" i="13" s="1"/>
  <c r="D112" i="12"/>
  <c r="E112" i="6"/>
  <c r="T71" i="8" l="1"/>
  <c r="T75" i="8"/>
  <c r="T70" i="8" s="1"/>
  <c r="M15" i="11"/>
  <c r="L15" i="11" s="1"/>
  <c r="Z15" i="11"/>
  <c r="X74" i="8"/>
  <c r="Y78" i="8"/>
  <c r="X73" i="8"/>
  <c r="X69" i="8" s="1"/>
  <c r="AD3" i="13"/>
  <c r="AD2" i="13" s="1"/>
  <c r="M16" i="11"/>
  <c r="L16" i="11" s="1"/>
  <c r="Z16" i="11"/>
  <c r="AA24" i="11"/>
  <c r="M14" i="11"/>
  <c r="Z14" i="11"/>
  <c r="Z77" i="8" a="1"/>
  <c r="Z77" i="8" s="1"/>
  <c r="Y72" i="8"/>
  <c r="U71" i="8"/>
  <c r="V76" i="8" a="1"/>
  <c r="V76" i="8" s="1"/>
  <c r="U75" i="8"/>
  <c r="U70" i="8" s="1"/>
  <c r="M26" i="13"/>
  <c r="Z24" i="11" l="1"/>
  <c r="AE3" i="13"/>
  <c r="M25" i="13"/>
  <c r="W76" i="8" a="1"/>
  <c r="W76" i="8" s="1"/>
  <c r="V71" i="8"/>
  <c r="V75" i="8"/>
  <c r="V70" i="8" s="1"/>
  <c r="M24" i="11"/>
  <c r="L14" i="11"/>
  <c r="L24" i="11" s="1"/>
  <c r="Y73" i="8"/>
  <c r="Y69" i="8" s="1"/>
  <c r="Y74" i="8"/>
  <c r="Z78" i="8"/>
  <c r="Z72" i="8"/>
  <c r="AA77" i="8" a="1"/>
  <c r="AA77" i="8" s="1"/>
  <c r="Z73" i="8" l="1"/>
  <c r="Z69" i="8" s="1"/>
  <c r="AA78" i="8"/>
  <c r="Z74" i="8"/>
  <c r="L10" i="11"/>
  <c r="M10" i="13" s="1"/>
  <c r="L25" i="11"/>
  <c r="L25" i="13"/>
  <c r="D30" i="14" s="1"/>
  <c r="L26" i="13"/>
  <c r="M25" i="11"/>
  <c r="G9" i="11" s="1"/>
  <c r="M10" i="11"/>
  <c r="N10" i="13" s="1"/>
  <c r="W71" i="8"/>
  <c r="X76" i="8" a="1"/>
  <c r="X76" i="8" s="1"/>
  <c r="W75" i="8"/>
  <c r="W70" i="8" s="1"/>
  <c r="AA72" i="8"/>
  <c r="AB77" i="8" a="1"/>
  <c r="AB77" i="8" s="1"/>
  <c r="O26" i="13"/>
  <c r="AE2" i="13"/>
  <c r="X71" i="8" l="1"/>
  <c r="Y76" i="8" a="1"/>
  <c r="Y76" i="8" s="1"/>
  <c r="X75" i="8"/>
  <c r="X70" i="8" s="1"/>
  <c r="D31" i="14"/>
  <c r="AC26" i="13"/>
  <c r="AD26" i="13"/>
  <c r="N26" i="13"/>
  <c r="E31" i="14" s="1"/>
  <c r="F31" i="14"/>
  <c r="O25" i="13"/>
  <c r="AA74" i="8"/>
  <c r="AB78" i="8"/>
  <c r="AA73" i="8"/>
  <c r="AA69" i="8" s="1"/>
  <c r="AC77" i="8" a="1"/>
  <c r="AC77" i="8" s="1"/>
  <c r="AB72" i="8"/>
  <c r="AB74" i="8" l="1"/>
  <c r="AB73" i="8"/>
  <c r="AB69" i="8" s="1"/>
  <c r="AC78" i="8"/>
  <c r="F30" i="14"/>
  <c r="N25" i="13"/>
  <c r="E30" i="14" s="1"/>
  <c r="Z76" i="8" a="1"/>
  <c r="Z76" i="8" s="1"/>
  <c r="Y71" i="8"/>
  <c r="Y75" i="8"/>
  <c r="Y70" i="8" s="1"/>
  <c r="AD77" i="8" a="1"/>
  <c r="AD77" i="8" s="1"/>
  <c r="AC72" i="8"/>
  <c r="AE77" i="8" l="1" a="1"/>
  <c r="AE77" i="8" s="1"/>
  <c r="AE72" i="8" s="1"/>
  <c r="AD72" i="8"/>
  <c r="AA76" i="8" a="1"/>
  <c r="AA76" i="8" s="1"/>
  <c r="Z71" i="8"/>
  <c r="Z75" i="8"/>
  <c r="Z70" i="8" s="1"/>
  <c r="AC74" i="8"/>
  <c r="AC73" i="8"/>
  <c r="AC69" i="8" s="1"/>
  <c r="AD78" i="8"/>
  <c r="AD73" i="8" l="1"/>
  <c r="AD69" i="8" s="1"/>
  <c r="AE78" i="8"/>
  <c r="AD74" i="8"/>
  <c r="AB76" i="8" a="1"/>
  <c r="AB76" i="8" s="1"/>
  <c r="AA71" i="8"/>
  <c r="AA75" i="8"/>
  <c r="AA70" i="8" s="1"/>
  <c r="AF78" i="8" l="1"/>
  <c r="AE74" i="8"/>
  <c r="J10" i="8"/>
  <c r="AE73" i="8"/>
  <c r="AE69" i="8" s="1"/>
  <c r="AB71" i="8"/>
  <c r="AC76" i="8" a="1"/>
  <c r="AC76" i="8" s="1"/>
  <c r="AB75" i="8"/>
  <c r="AB70" i="8" s="1"/>
  <c r="AC71" i="8" l="1"/>
  <c r="AD76" i="8" a="1"/>
  <c r="AD76" i="8" s="1"/>
  <c r="AC75" i="8"/>
  <c r="AC70" i="8" s="1"/>
  <c r="AD71" i="8" l="1"/>
  <c r="AE76" i="8" a="1"/>
  <c r="AE76" i="8" s="1"/>
  <c r="AD75" i="8"/>
  <c r="AD70" i="8" s="1"/>
  <c r="AF76" i="8" l="1"/>
  <c r="AE71" i="8"/>
  <c r="AE75" i="8"/>
  <c r="AE70" i="8" l="1"/>
  <c r="AF75" i="8"/>
  <c r="AF77" i="8" s="1"/>
</calcChain>
</file>

<file path=xl/comments1.xml><?xml version="1.0" encoding="utf-8"?>
<comments xmlns="http://schemas.openxmlformats.org/spreadsheetml/2006/main">
  <authors>
    <author/>
  </authors>
  <commentList>
    <comment ref="F41" authorId="0" shapeId="0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J7" authorId="0" shapeId="0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15" authorId="0" shapeId="0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<sst xmlns="http://schemas.openxmlformats.org/spreadsheetml/2006/main" count="1674" uniqueCount="502">
  <si>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</si>
  <si>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</si>
  <si>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</si>
  <si>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</si>
  <si>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</si>
  <si>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</si>
  <si>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</si>
  <si>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</si>
  <si>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</si>
  <si>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</si>
  <si>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</si>
  <si>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</si>
  <si>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</si>
  <si>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</si>
  <si>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</si>
  <si>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</si>
  <si>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</si>
  <si>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</si>
  <si>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</si>
  <si>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</si>
  <si>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</si>
  <si>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</si>
  <si>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</si>
  <si>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</si>
  <si>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</si>
  <si>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</si>
  <si>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</si>
  <si>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</si>
  <si>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</si>
  <si>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</si>
  <si>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</si>
  <si>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</si>
  <si>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</si>
  <si>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</si>
  <si>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</si>
  <si>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</si>
  <si>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</si>
  <si>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</si>
  <si>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</si>
  <si>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</si>
  <si>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</si>
  <si>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</si>
  <si>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</si>
  <si>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</si>
  <si>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</si>
  <si>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</si>
  <si>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</si>
  <si>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</si>
  <si>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</si>
  <si>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</si>
  <si>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</si>
  <si>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</si>
  <si>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</si>
  <si>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</si>
  <si>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</si>
  <si>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</si>
  <si>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</si>
  <si>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</si>
  <si>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</si>
  <si>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</si>
  <si>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</si>
  <si>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</si>
  <si>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</si>
  <si>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</si>
  <si>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</si>
  <si>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</si>
  <si>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</si>
  <si>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</si>
  <si>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</si>
  <si>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</si>
  <si>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</si>
  <si>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</si>
  <si>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</si>
  <si>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</si>
  <si>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</si>
  <si>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</si>
  <si>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</si>
  <si>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</si>
  <si>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</si>
  <si>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</si>
  <si>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</si>
  <si>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</si>
  <si>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</si>
  <si>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</si>
  <si>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</si>
  <si>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</si>
  <si>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</si>
  <si>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</si>
  <si>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</si>
  <si>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</si>
  <si>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</si>
  <si>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</si>
  <si>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</si>
  <si>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</si>
  <si>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</si>
  <si>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</si>
  <si>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</si>
  <si>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</si>
  <si>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</si>
  <si>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</si>
  <si>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</si>
  <si>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</si>
  <si>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</si>
  <si>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</si>
  <si>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</si>
  <si>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</si>
  <si>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</si>
  <si>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</si>
  <si>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</si>
  <si>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</si>
  <si>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</si>
  <si>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</si>
  <si>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</si>
  <si>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</si>
  <si>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</si>
  <si>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</si>
  <si>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</si>
  <si>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</si>
  <si>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</si>
  <si>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</si>
  <si>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</si>
  <si>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</si>
  <si>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</si>
  <si>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</si>
  <si>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</si>
  <si>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</si>
  <si>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</si>
  <si>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</si>
  <si>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</si>
  <si>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</si>
  <si>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</si>
  <si>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</si>
  <si>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</si>
  <si>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</si>
  <si>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</si>
  <si>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</si>
  <si>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</si>
  <si>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</si>
  <si>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</si>
  <si>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</si>
  <si>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</si>
  <si>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</si>
  <si>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</si>
  <si>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</si>
  <si>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</si>
  <si>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</si>
  <si>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</si>
  <si>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</si>
  <si>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</si>
  <si>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</si>
  <si>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</si>
  <si>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</si>
  <si>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</si>
  <si>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</si>
  <si>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</si>
  <si>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</si>
  <si>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</si>
  <si>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</si>
  <si>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</si>
  <si>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</si>
  <si>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</si>
  <si>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</si>
  <si>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</si>
  <si>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</si>
  <si>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</si>
  <si>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</si>
  <si>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</si>
  <si>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</si>
  <si>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</si>
  <si>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</si>
  <si>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</si>
  <si>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</si>
  <si>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</si>
  <si>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</si>
  <si>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</si>
  <si>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</si>
  <si>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</si>
  <si>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</si>
  <si>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</si>
  <si>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</si>
  <si>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</si>
  <si>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</si>
  <si>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</si>
  <si>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</si>
  <si>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</si>
  <si>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</si>
  <si>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</si>
  <si>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</si>
  <si>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</si>
  <si>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</si>
  <si>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</si>
  <si>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</si>
  <si>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</si>
  <si>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</si>
  <si>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</si>
  <si>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</si>
  <si>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</si>
  <si>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</si>
  <si>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</si>
  <si>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</si>
  <si>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</si>
  <si>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</si>
  <si>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</si>
  <si>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</si>
  <si>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</si>
  <si>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</si>
  <si>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</si>
  <si>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</si>
  <si>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</si>
  <si>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</si>
  <si>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</si>
  <si>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</si>
  <si>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</si>
  <si>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</si>
  <si>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</si>
  <si>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</si>
  <si>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</si>
  <si>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</si>
  <si>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</si>
  <si>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</si>
  <si>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</si>
  <si>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</si>
  <si>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</si>
  <si>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</si>
  <si>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</si>
  <si>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</si>
  <si>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</si>
  <si>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</si>
  <si>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</si>
  <si>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</si>
  <si>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</si>
  <si>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</si>
  <si>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</si>
  <si>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</si>
  <si>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</si>
  <si>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</si>
  <si>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</si>
  <si>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</si>
  <si>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</si>
  <si>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</si>
  <si>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</si>
  <si>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</si>
  <si>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</si>
  <si>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</si>
  <si>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</si>
  <si>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</si>
  <si>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</si>
  <si>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</si>
  <si>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</si>
  <si>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</si>
  <si>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</si>
  <si>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</si>
  <si>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</si>
  <si>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</si>
  <si>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</si>
  <si>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</si>
  <si>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</si>
  <si>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</si>
  <si>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</si>
  <si>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</si>
  <si>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</si>
  <si>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</si>
  <si>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</si>
  <si>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</si>
  <si>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</si>
  <si>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</si>
  <si>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</si>
  <si>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</si>
  <si>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</si>
  <si>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</si>
  <si>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</si>
  <si>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</si>
  <si>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</si>
  <si>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</si>
  <si>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</si>
  <si>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</si>
  <si>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</si>
  <si>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</si>
  <si>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</si>
  <si>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</si>
  <si>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</si>
  <si>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</si>
  <si>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</si>
  <si>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</si>
  <si>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</si>
  <si>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</si>
  <si>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</si>
  <si>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</si>
  <si>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</si>
  <si>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</si>
  <si>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</si>
  <si>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</si>
  <si>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</si>
  <si>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</si>
  <si>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</si>
  <si>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</si>
  <si>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</si>
  <si>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</si>
  <si>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</si>
  <si>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</si>
  <si>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</si>
  <si>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</si>
  <si>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</si>
  <si>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</si>
  <si>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</si>
  <si>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</si>
  <si>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</si>
  <si>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</si>
  <si>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</si>
  <si>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</si>
  <si>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</si>
  <si>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</si>
  <si>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</si>
  <si>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</si>
  <si>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</si>
  <si>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</si>
  <si>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</si>
  <si>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</si>
  <si>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</si>
  <si>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</si>
  <si>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</si>
  <si>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</si>
  <si>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</si>
  <si>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</si>
  <si>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</si>
  <si>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</si>
  <si>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</si>
  <si>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</si>
  <si>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</si>
  <si>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</si>
  <si>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</si>
  <si>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</si>
  <si>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</si>
  <si>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</si>
  <si>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</si>
  <si>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</si>
  <si>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</si>
  <si>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</si>
  <si>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</si>
  <si>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</si>
  <si>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</si>
  <si>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</si>
  <si>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</si>
  <si>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</si>
  <si>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</si>
  <si>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</si>
  <si>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</si>
  <si>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</si>
  <si>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</si>
  <si>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</si>
  <si>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</si>
  <si>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</si>
  <si>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</si>
  <si>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</si>
  <si>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</si>
  <si>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</si>
  <si>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</si>
  <si>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</si>
  <si>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</si>
  <si>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</si>
  <si>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</si>
  <si>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</si>
  <si>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</si>
  <si>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</si>
  <si>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</si>
  <si>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</si>
  <si>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</si>
  <si>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</si>
  <si>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</si>
  <si>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</si>
  <si>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</si>
  <si>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</si>
  <si>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</si>
  <si>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</si>
  <si>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</si>
  <si>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</si>
  <si>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</si>
  <si>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</si>
  <si>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</si>
  <si>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</si>
  <si>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</si>
  <si>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</si>
  <si>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</si>
  <si>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</si>
  <si>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</si>
  <si>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</si>
  <si>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</si>
  <si>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</si>
  <si>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</si>
  <si>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</si>
  <si>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</si>
  <si>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</si>
  <si>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</si>
  <si>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</si>
  <si>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</si>
  <si>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</si>
  <si>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</si>
  <si>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</si>
  <si>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</si>
  <si>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</si>
  <si>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</si>
  <si>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</si>
  <si>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</si>
  <si>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</si>
  <si>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</si>
  <si>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</si>
  <si>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</si>
  <si>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</si>
  <si>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</si>
  <si>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</si>
  <si>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</si>
  <si>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</si>
  <si>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</si>
  <si>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</si>
  <si>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</si>
  <si>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</si>
  <si>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</si>
  <si>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</si>
  <si>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</si>
  <si>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</si>
  <si>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</si>
  <si>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</si>
  <si>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</si>
  <si>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</si>
  <si>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</si>
  <si>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</si>
  <si>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</si>
  <si>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</si>
  <si>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</si>
  <si>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</si>
  <si>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</si>
  <si>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</si>
  <si>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</si>
  <si>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</si>
  <si>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</si>
  <si>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</si>
  <si>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</si>
  <si>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</si>
  <si>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</si>
  <si>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</si>
  <si>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</si>
  <si>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</si>
  <si>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</si>
  <si>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</si>
  <si>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</si>
  <si>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</si>
  <si>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</si>
  <si>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</si>
  <si>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NÃO DESONERADO</t>
  </si>
  <si>
    <t>EMPREITADA POR PREÇO GLOBAL</t>
  </si>
  <si>
    <t>Composição</t>
  </si>
  <si>
    <t>3</t>
  </si>
  <si>
    <t>2</t>
  </si>
  <si>
    <t>1</t>
  </si>
  <si>
    <t>PAVIMENTAÇÃO</t>
  </si>
  <si>
    <t>SINALIZAÇÃO</t>
  </si>
  <si>
    <t>CÂNDIDO GODÓI</t>
  </si>
  <si>
    <t>PREFEITURA MUNICIPAL</t>
  </si>
  <si>
    <t>PAVIMENTAÇÃO ASFÁLTICA</t>
  </si>
  <si>
    <t>DANIEL RODRIGO GOERLACH</t>
  </si>
  <si>
    <t>CREA/RS 130.189</t>
  </si>
  <si>
    <t>PREFEITO MUNICIPAL</t>
  </si>
  <si>
    <t>ENGENHEIRO CIVIL</t>
  </si>
  <si>
    <t>ADMINISTRAÇÃO LOCAL</t>
  </si>
  <si>
    <t>DRENAGEM</t>
  </si>
  <si>
    <t xml:space="preserve">SERVIÇOS INICIAIS </t>
  </si>
  <si>
    <t>4</t>
  </si>
  <si>
    <t>TRECHO 2 - Rua Presidente Castelo Branco e Travessa Dom Pedro II</t>
  </si>
  <si>
    <t>94273</t>
  </si>
  <si>
    <t>TRECHO 03 - Rua Presidente Castelo Branco</t>
  </si>
  <si>
    <t>DRENAGEM PLUVIAL</t>
  </si>
  <si>
    <t>TRECHO 01 - Rua João XXIII e Loureiro da Silva</t>
  </si>
  <si>
    <t>GUERINO BACKES</t>
  </si>
  <si>
    <t>DIVERSOS TRECHOS DA ÁREA URBANA</t>
  </si>
  <si>
    <t>SICRO</t>
  </si>
  <si>
    <t>5213490</t>
  </si>
  <si>
    <t>5216111</t>
  </si>
  <si>
    <t>5502166</t>
  </si>
  <si>
    <t>4815671</t>
  </si>
  <si>
    <t>5914389</t>
  </si>
  <si>
    <t>4011276</t>
  </si>
  <si>
    <t>4011353</t>
  </si>
  <si>
    <t>4011463</t>
  </si>
  <si>
    <t>Cotação</t>
  </si>
  <si>
    <t>01</t>
  </si>
  <si>
    <t>02</t>
  </si>
  <si>
    <t>5914622</t>
  </si>
  <si>
    <t>P9888</t>
  </si>
  <si>
    <t>P9828</t>
  </si>
  <si>
    <t>5213863</t>
  </si>
  <si>
    <t>5213401</t>
  </si>
  <si>
    <t>5213464</t>
  </si>
  <si>
    <t>5213465</t>
  </si>
  <si>
    <t>5213440</t>
  </si>
  <si>
    <t>5213448</t>
  </si>
  <si>
    <t>5213444</t>
  </si>
  <si>
    <t>5</t>
  </si>
  <si>
    <t>6</t>
  </si>
  <si>
    <t>5213414</t>
  </si>
  <si>
    <t>P9874</t>
  </si>
  <si>
    <t>6416040</t>
  </si>
  <si>
    <t>5914646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</si>
</sst>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.00_-;\-* #,##0.00_-;_-* &quot;-&quot;??_-;_-@_-"/>
    <numFmt numFmtId="165" formatCode="_(&quot;R$ &quot;* #,##0.00_);_(&quot;R$ &quot;* \(#,##0.00\);_(&quot;R$ &quot;* \-??_);_(@_)"/>
    <numFmt numFmtId="166" formatCode="_-* #,##0.00_-;\-* #,##0.00_-;_-* \-??_-;_-@_-"/>
    <numFmt numFmtId="167" formatCode="mm\-yyyy"/>
    <numFmt numFmtId="168" formatCode="General;General"/>
    <numFmt numFmtId="169" formatCode="dddd&quot;, &quot;mmmm\ dd&quot;, &quot;yyyy"/>
    <numFmt numFmtId="170" formatCode="dd&quot; de &quot;mmmm&quot; de &quot;yyyy"/>
    <numFmt numFmtId="171" formatCode="mmm\-yy;@"/>
    <numFmt numFmtId="172" formatCode="_(* #,##0.00_);_(* \(#,##0.00\);_(* \-??_);_(@_)"/>
    <numFmt numFmtId="173" formatCode="0\."/>
    <numFmt numFmtId="174" formatCode="_(\ #,##0.00_);_(&quot; (&quot;#,##0.00\);_(&quot; -&quot;??_);_(@_)"/>
    <numFmt numFmtId="175" formatCode="mm/yy"/>
    <numFmt numFmtId="176" formatCode="General;;"/>
    <numFmt numFmtId="177" formatCode="&quot;Medição &quot;0"/>
    <numFmt numFmtId="178" formatCode="_(#,##0.00_);_(* \(#,##0.00\);_(* \-??_);_(@_)"/>
    <numFmt numFmtId="179" formatCode="_-#,##0.00_-;\-#,##0.00_-;_-&quot; -&quot;??_-;_-@_-"/>
    <numFmt numFmtId="180" formatCode="##\."/>
    <numFmt numFmtId="181" formatCode="_-&quot;R$ &quot;* #,##0.00_-;&quot;-R$ &quot;* #,##0.00_-;_-&quot;R$ &quot;* \-??_-;_-@_-"/>
    <numFmt numFmtId="182" formatCode="&quot;( &quot;0.00%&quot; )&quot;"/>
    <numFmt numFmtId="183" formatCode="dd/mm/yy;@"/>
    <numFmt numFmtId="184" formatCode="&quot;Medição &quot;##"/>
    <numFmt numFmtId="185" formatCode="#,##0.00_ ;\-#,##0.00\ "/>
    <numFmt numFmtId="186" formatCode="_(* #,##0.00_);_(* \(#,##0.00\);;_(@_)"/>
    <numFmt numFmtId="187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1" fontId="56" fillId="0" borderId="0" applyFill="0" applyBorder="0" applyAlignment="0" applyProtection="0"/>
    <xf numFmtId="165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2" fontId="56" fillId="0" borderId="0" applyFill="0" applyBorder="0" applyAlignment="0" applyProtection="0"/>
    <xf numFmtId="166" fontId="56" fillId="0" borderId="0" applyFill="0" applyBorder="0" applyAlignment="0" applyProtection="0"/>
  </cellStyleXfs>
  <cellXfs count="74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7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7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70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8" fontId="0" fillId="0" borderId="0" xfId="33" applyNumberFormat="1" applyFont="1"/>
    <xf numFmtId="168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1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2" fontId="0" fillId="0" borderId="40" xfId="48" applyFont="1" applyFill="1" applyBorder="1" applyAlignment="1" applyProtection="1">
      <alignment vertical="center" shrinkToFit="1"/>
    </xf>
    <xf numFmtId="172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2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2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2" fontId="24" fillId="17" borderId="46" xfId="48" applyFont="1" applyFill="1" applyBorder="1" applyAlignment="1" applyProtection="1">
      <alignment horizontal="center" vertical="center" shrinkToFit="1"/>
    </xf>
    <xf numFmtId="172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8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2" fontId="0" fillId="6" borderId="39" xfId="48" applyFont="1" applyFill="1" applyBorder="1" applyAlignment="1" applyProtection="1">
      <alignment vertical="center" shrinkToFit="1"/>
      <protection locked="0"/>
    </xf>
    <xf numFmtId="172" fontId="0" fillId="6" borderId="40" xfId="48" applyFont="1" applyFill="1" applyBorder="1" applyAlignment="1" applyProtection="1">
      <alignment vertical="center" shrinkToFit="1"/>
      <protection locked="0"/>
    </xf>
    <xf numFmtId="172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8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2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2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6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3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4" fontId="56" fillId="0" borderId="61" xfId="48" applyNumberFormat="1" applyFill="1" applyBorder="1" applyAlignment="1" applyProtection="1">
      <alignment horizontal="right" shrinkToFit="1"/>
    </xf>
    <xf numFmtId="174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6" fontId="0" fillId="0" borderId="64" xfId="49" applyFont="1" applyFill="1" applyBorder="1" applyAlignment="1" applyProtection="1">
      <alignment horizontal="right" shrinkToFit="1"/>
    </xf>
    <xf numFmtId="174" fontId="0" fillId="0" borderId="31" xfId="48" applyNumberFormat="1" applyFont="1" applyFill="1" applyBorder="1" applyAlignment="1" applyProtection="1">
      <alignment horizontal="center" vertical="center"/>
    </xf>
    <xf numFmtId="166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6" fontId="48" fillId="0" borderId="0" xfId="49" applyFont="1" applyFill="1" applyBorder="1" applyAlignment="1" applyProtection="1">
      <alignment horizontal="center"/>
    </xf>
    <xf numFmtId="166" fontId="0" fillId="0" borderId="14" xfId="49" applyFont="1" applyFill="1" applyBorder="1" applyAlignment="1" applyProtection="1">
      <alignment horizontal="center"/>
    </xf>
    <xf numFmtId="166" fontId="48" fillId="0" borderId="56" xfId="49" applyFont="1" applyFill="1" applyBorder="1" applyAlignment="1" applyProtection="1">
      <alignment horizontal="center"/>
    </xf>
    <xf numFmtId="166" fontId="48" fillId="0" borderId="57" xfId="49" applyFont="1" applyFill="1" applyBorder="1" applyAlignment="1" applyProtection="1">
      <alignment horizontal="center"/>
    </xf>
    <xf numFmtId="166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6" fontId="24" fillId="0" borderId="33" xfId="49" applyFont="1" applyFill="1" applyBorder="1" applyAlignment="1" applyProtection="1">
      <alignment horizontal="left"/>
    </xf>
    <xf numFmtId="166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5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5" fontId="49" fillId="0" borderId="56" xfId="34" applyNumberFormat="1" applyFont="1" applyBorder="1" applyAlignment="1" applyProtection="1">
      <alignment horizontal="center"/>
      <protection locked="0"/>
    </xf>
    <xf numFmtId="175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6" fontId="24" fillId="0" borderId="0" xfId="49" applyFont="1" applyFill="1" applyBorder="1" applyAlignment="1" applyProtection="1">
      <alignment horizontal="center" shrinkToFit="1"/>
    </xf>
    <xf numFmtId="166" fontId="0" fillId="8" borderId="66" xfId="49" applyFont="1" applyFill="1" applyBorder="1" applyAlignment="1" applyProtection="1">
      <alignment horizontal="center"/>
    </xf>
    <xf numFmtId="166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2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6" fontId="0" fillId="0" borderId="38" xfId="49" applyFont="1" applyFill="1" applyBorder="1" applyAlignment="1" applyProtection="1">
      <alignment horizontal="center"/>
    </xf>
    <xf numFmtId="166" fontId="0" fillId="0" borderId="69" xfId="49" applyFont="1" applyFill="1" applyBorder="1" applyAlignment="1" applyProtection="1">
      <alignment horizontal="right"/>
    </xf>
    <xf numFmtId="172" fontId="56" fillId="0" borderId="39" xfId="48" applyFill="1" applyBorder="1" applyAlignment="1" applyProtection="1">
      <alignment shrinkToFit="1"/>
    </xf>
    <xf numFmtId="172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6" fontId="0" fillId="8" borderId="38" xfId="49" applyFont="1" applyFill="1" applyBorder="1" applyAlignment="1" applyProtection="1">
      <alignment horizontal="center"/>
    </xf>
    <xf numFmtId="166" fontId="0" fillId="8" borderId="69" xfId="49" applyFont="1" applyFill="1" applyBorder="1" applyAlignment="1" applyProtection="1">
      <alignment horizontal="right"/>
    </xf>
    <xf numFmtId="172" fontId="56" fillId="8" borderId="39" xfId="48" applyFill="1" applyBorder="1" applyAlignment="1" applyProtection="1">
      <alignment shrinkToFit="1"/>
    </xf>
    <xf numFmtId="172" fontId="56" fillId="8" borderId="40" xfId="48" applyFill="1" applyBorder="1" applyAlignment="1" applyProtection="1">
      <alignment shrinkToFit="1"/>
    </xf>
    <xf numFmtId="172" fontId="56" fillId="8" borderId="41" xfId="48" applyFill="1" applyBorder="1" applyAlignment="1" applyProtection="1">
      <alignment shrinkToFit="1"/>
    </xf>
    <xf numFmtId="172" fontId="56" fillId="0" borderId="43" xfId="48" applyFill="1" applyBorder="1" applyAlignment="1" applyProtection="1">
      <alignment shrinkToFit="1"/>
    </xf>
    <xf numFmtId="166" fontId="0" fillId="0" borderId="59" xfId="49" applyFont="1" applyFill="1" applyBorder="1" applyAlignment="1" applyProtection="1">
      <alignment horizontal="center"/>
    </xf>
    <xf numFmtId="166" fontId="0" fillId="0" borderId="61" xfId="49" applyFont="1" applyFill="1" applyBorder="1" applyAlignment="1" applyProtection="1">
      <alignment horizontal="right"/>
    </xf>
    <xf numFmtId="172" fontId="56" fillId="0" borderId="70" xfId="48" applyFill="1" applyBorder="1" applyAlignment="1" applyProtection="1">
      <alignment shrinkToFit="1"/>
    </xf>
    <xf numFmtId="172" fontId="56" fillId="0" borderId="44" xfId="48" applyFill="1" applyBorder="1" applyAlignment="1" applyProtection="1">
      <alignment shrinkToFit="1"/>
    </xf>
    <xf numFmtId="166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6" fontId="24" fillId="8" borderId="72" xfId="49" applyFont="1" applyFill="1" applyBorder="1" applyAlignment="1" applyProtection="1">
      <alignment horizontal="center"/>
    </xf>
    <xf numFmtId="166" fontId="24" fillId="8" borderId="73" xfId="49" applyFont="1" applyFill="1" applyBorder="1" applyAlignment="1" applyProtection="1">
      <alignment horizontal="right"/>
    </xf>
    <xf numFmtId="166" fontId="24" fillId="8" borderId="74" xfId="49" applyFont="1" applyFill="1" applyBorder="1" applyAlignment="1" applyProtection="1">
      <alignment shrinkToFit="1"/>
    </xf>
    <xf numFmtId="166" fontId="24" fillId="8" borderId="71" xfId="49" applyFont="1" applyFill="1" applyBorder="1" applyAlignment="1" applyProtection="1">
      <alignment shrinkToFit="1"/>
    </xf>
    <xf numFmtId="166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6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6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9" fontId="0" fillId="0" borderId="47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180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9" fontId="0" fillId="0" borderId="38" xfId="0" applyNumberFormat="1" applyBorder="1" applyAlignment="1">
      <alignment horizontal="center" vertical="center"/>
    </xf>
    <xf numFmtId="179" fontId="0" fillId="0" borderId="79" xfId="0" applyNumberFormat="1" applyBorder="1" applyAlignment="1">
      <alignment horizontal="center" vertical="center"/>
    </xf>
    <xf numFmtId="179" fontId="0" fillId="0" borderId="69" xfId="0" applyNumberFormat="1" applyBorder="1" applyAlignment="1">
      <alignment horizontal="center" vertical="center"/>
    </xf>
    <xf numFmtId="179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9" fontId="0" fillId="6" borderId="70" xfId="0" applyNumberFormat="1" applyFill="1" applyBorder="1" applyAlignment="1" applyProtection="1">
      <alignment horizontal="center" vertical="center"/>
      <protection locked="0"/>
    </xf>
    <xf numFmtId="179" fontId="0" fillId="6" borderId="43" xfId="0" applyNumberFormat="1" applyFill="1" applyBorder="1" applyAlignment="1" applyProtection="1">
      <alignment horizontal="center" vertical="center"/>
      <protection locked="0"/>
    </xf>
    <xf numFmtId="179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9" fontId="17" fillId="8" borderId="82" xfId="0" applyNumberFormat="1" applyFont="1" applyFill="1" applyBorder="1" applyAlignment="1">
      <alignment horizontal="center" vertical="center"/>
    </xf>
    <xf numFmtId="179" fontId="17" fillId="8" borderId="10" xfId="0" applyNumberFormat="1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179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2" fontId="8" fillId="8" borderId="47" xfId="0" applyNumberFormat="1" applyFont="1" applyFill="1" applyBorder="1" applyAlignment="1">
      <alignment horizontal="center"/>
    </xf>
    <xf numFmtId="182" fontId="8" fillId="8" borderId="30" xfId="0" applyNumberFormat="1" applyFont="1" applyFill="1" applyBorder="1" applyAlignment="1">
      <alignment horizontal="center"/>
    </xf>
    <xf numFmtId="182" fontId="8" fillId="8" borderId="29" xfId="0" applyNumberFormat="1" applyFont="1" applyFill="1" applyBorder="1" applyAlignment="1">
      <alignment horizontal="center"/>
    </xf>
    <xf numFmtId="182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3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4" fontId="24" fillId="8" borderId="34" xfId="0" applyNumberFormat="1" applyFont="1" applyFill="1" applyBorder="1" applyAlignment="1">
      <alignment horizontal="center" vertical="center" wrapText="1"/>
    </xf>
    <xf numFmtId="172" fontId="0" fillId="0" borderId="38" xfId="48" applyFont="1" applyFill="1" applyBorder="1" applyAlignment="1" applyProtection="1">
      <alignment vertical="center" shrinkToFit="1"/>
    </xf>
    <xf numFmtId="172" fontId="0" fillId="0" borderId="69" xfId="48" applyFont="1" applyFill="1" applyBorder="1" applyAlignment="1" applyProtection="1">
      <alignment vertical="center" shrinkToFit="1"/>
    </xf>
    <xf numFmtId="172" fontId="0" fillId="0" borderId="39" xfId="48" applyFont="1" applyFill="1" applyBorder="1" applyAlignment="1" applyProtection="1">
      <alignment horizontal="center" vertical="center" shrinkToFit="1"/>
    </xf>
    <xf numFmtId="172" fontId="0" fillId="0" borderId="40" xfId="48" applyFont="1" applyFill="1" applyBorder="1" applyAlignment="1" applyProtection="1">
      <alignment horizontal="center" vertical="center" shrinkToFit="1"/>
    </xf>
    <xf numFmtId="172" fontId="0" fillId="6" borderId="39" xfId="48" applyFont="1" applyFill="1" applyBorder="1" applyAlignment="1" applyProtection="1">
      <protection locked="0"/>
    </xf>
    <xf numFmtId="172" fontId="0" fillId="6" borderId="41" xfId="48" applyFont="1" applyFill="1" applyBorder="1" applyAlignment="1" applyProtection="1">
      <protection locked="0"/>
    </xf>
    <xf numFmtId="166" fontId="0" fillId="0" borderId="40" xfId="0" applyNumberFormat="1" applyBorder="1"/>
    <xf numFmtId="172" fontId="24" fillId="17" borderId="14" xfId="48" applyFont="1" applyFill="1" applyBorder="1" applyAlignment="1" applyProtection="1">
      <alignment horizontal="center" vertical="center"/>
    </xf>
    <xf numFmtId="172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5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1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9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2" fontId="8" fillId="8" borderId="84" xfId="0" applyNumberFormat="1" applyFont="1" applyFill="1" applyBorder="1" applyAlignment="1">
      <alignment horizontal="center"/>
    </xf>
    <xf numFmtId="182" fontId="8" fillId="8" borderId="85" xfId="0" applyNumberFormat="1" applyFont="1" applyFill="1" applyBorder="1" applyAlignment="1">
      <alignment horizontal="center"/>
    </xf>
    <xf numFmtId="182" fontId="8" fillId="8" borderId="66" xfId="0" applyNumberFormat="1" applyFont="1" applyFill="1" applyBorder="1" applyAlignment="1">
      <alignment horizontal="center"/>
    </xf>
    <xf numFmtId="182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9" fontId="0" fillId="8" borderId="42" xfId="0" applyNumberFormat="1" applyFill="1" applyBorder="1" applyAlignment="1">
      <alignment horizontal="center" vertical="center"/>
    </xf>
    <xf numFmtId="179" fontId="0" fillId="8" borderId="38" xfId="0" applyNumberFormat="1" applyFill="1" applyBorder="1" applyAlignment="1">
      <alignment horizontal="center" vertical="center"/>
    </xf>
    <xf numFmtId="179" fontId="0" fillId="8" borderId="79" xfId="0" applyNumberFormat="1" applyFill="1" applyBorder="1" applyAlignment="1">
      <alignment horizontal="center" vertical="center"/>
    </xf>
    <xf numFmtId="179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9" fontId="55" fillId="0" borderId="40" xfId="0" applyNumberFormat="1" applyFont="1" applyBorder="1"/>
    <xf numFmtId="179" fontId="0" fillId="0" borderId="86" xfId="0" applyNumberFormat="1" applyBorder="1" applyAlignment="1">
      <alignment horizontal="center" vertical="center"/>
    </xf>
    <xf numFmtId="179" fontId="0" fillId="0" borderId="59" xfId="0" applyNumberFormat="1" applyBorder="1" applyAlignment="1">
      <alignment horizontal="center" vertical="center"/>
    </xf>
    <xf numFmtId="179" fontId="0" fillId="0" borderId="60" xfId="0" applyNumberFormat="1" applyBorder="1" applyAlignment="1">
      <alignment horizontal="center" vertical="center"/>
    </xf>
    <xf numFmtId="179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9" fontId="17" fillId="8" borderId="32" xfId="0" applyNumberFormat="1" applyFont="1" applyFill="1" applyBorder="1" applyAlignment="1">
      <alignment horizontal="center" vertical="center"/>
    </xf>
    <xf numFmtId="179" fontId="17" fillId="8" borderId="13" xfId="0" applyNumberFormat="1" applyFont="1" applyFill="1" applyBorder="1" applyAlignment="1">
      <alignment horizontal="center" vertical="center"/>
    </xf>
    <xf numFmtId="179" fontId="17" fillId="8" borderId="45" xfId="0" applyNumberFormat="1" applyFont="1" applyFill="1" applyBorder="1" applyAlignment="1">
      <alignment horizontal="center" vertical="center"/>
    </xf>
    <xf numFmtId="179" fontId="17" fillId="8" borderId="46" xfId="0" applyNumberFormat="1" applyFont="1" applyFill="1" applyBorder="1" applyAlignment="1">
      <alignment horizontal="center" vertical="center"/>
    </xf>
    <xf numFmtId="179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2" fontId="21" fillId="0" borderId="0" xfId="48" applyFont="1" applyFill="1" applyBorder="1" applyAlignment="1" applyProtection="1"/>
    <xf numFmtId="169" fontId="0" fillId="0" borderId="0" xfId="33" applyNumberFormat="1" applyFont="1" applyAlignment="1">
      <alignment horizontal="left"/>
    </xf>
    <xf numFmtId="172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1" fontId="24" fillId="0" borderId="40" xfId="48" applyNumberFormat="1" applyFont="1" applyFill="1" applyBorder="1" applyAlignment="1" applyProtection="1">
      <alignment vertical="top" shrinkToFit="1"/>
    </xf>
    <xf numFmtId="181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2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2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2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6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2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2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2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5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2" fontId="0" fillId="0" borderId="37" xfId="48" applyFont="1" applyFill="1" applyBorder="1" applyAlignment="1" applyProtection="1">
      <alignment vertical="center" shrinkToFit="1"/>
    </xf>
    <xf numFmtId="172" fontId="0" fillId="0" borderId="48" xfId="48" applyFont="1" applyFill="1" applyBorder="1" applyAlignment="1" applyProtection="1">
      <alignment vertical="center" shrinkToFit="1"/>
    </xf>
    <xf numFmtId="172" fontId="0" fillId="0" borderId="49" xfId="48" applyFont="1" applyFill="1" applyBorder="1" applyAlignment="1" applyProtection="1">
      <alignment vertical="center" shrinkToFit="1"/>
    </xf>
    <xf numFmtId="186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2" fontId="24" fillId="17" borderId="30" xfId="48" applyFont="1" applyFill="1" applyBorder="1" applyAlignment="1" applyProtection="1">
      <alignment horizontal="center" vertical="center"/>
    </xf>
    <xf numFmtId="172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7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6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2" fontId="0" fillId="0" borderId="41" xfId="48" applyFont="1" applyFill="1" applyBorder="1" applyAlignment="1" applyProtection="1">
      <alignment vertical="center" shrinkToFit="1"/>
    </xf>
    <xf numFmtId="172" fontId="24" fillId="17" borderId="71" xfId="48" applyFont="1" applyFill="1" applyBorder="1" applyAlignment="1" applyProtection="1">
      <alignment horizontal="center" vertical="center" shrinkToFit="1"/>
    </xf>
    <xf numFmtId="172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24" fillId="0" borderId="32" xfId="33" applyFont="1" applyBorder="1" applyAlignment="1">
      <alignment horizontal="center" vertical="center"/>
    </xf>
    <xf numFmtId="165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Border="1" applyAlignment="1">
      <alignment horizontal="center" vertical="center" wrapText="1"/>
    </xf>
    <xf numFmtId="0" fontId="17" fillId="0" borderId="32" xfId="33" applyFont="1" applyBorder="1" applyAlignment="1">
      <alignment horizontal="center" vertical="center"/>
    </xf>
    <xf numFmtId="0" fontId="23" fillId="0" borderId="32" xfId="33" applyFont="1" applyBorder="1" applyAlignment="1">
      <alignment horizontal="center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top"/>
    </xf>
    <xf numFmtId="0" fontId="8" fillId="0" borderId="32" xfId="33" applyFont="1" applyBorder="1" applyAlignment="1">
      <alignment horizontal="left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0" fillId="0" borderId="10" xfId="33" applyFont="1" applyBorder="1" applyAlignment="1">
      <alignment horizontal="left" vertical="center"/>
    </xf>
    <xf numFmtId="168" fontId="0" fillId="0" borderId="30" xfId="33" applyNumberFormat="1" applyFont="1" applyBorder="1" applyAlignment="1">
      <alignment horizontal="left"/>
    </xf>
    <xf numFmtId="187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39" fillId="0" borderId="0" xfId="0" applyFont="1" applyAlignment="1">
      <alignment horizontal="center" textRotation="90"/>
    </xf>
    <xf numFmtId="187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8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24" fillId="17" borderId="32" xfId="0" applyFont="1" applyFill="1" applyBorder="1" applyAlignment="1">
      <alignment horizontal="left" vertical="center" wrapText="1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0" fontId="46" fillId="0" borderId="14" xfId="34" applyFont="1" applyBorder="1" applyAlignment="1">
      <alignment horizontal="left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187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6" fontId="24" fillId="0" borderId="46" xfId="49" applyFont="1" applyFill="1" applyBorder="1" applyAlignment="1" applyProtection="1">
      <alignment horizontal="center" vertical="center" wrapText="1"/>
    </xf>
    <xf numFmtId="174" fontId="24" fillId="0" borderId="32" xfId="48" applyNumberFormat="1" applyFont="1" applyFill="1" applyBorder="1" applyAlignment="1" applyProtection="1">
      <alignment horizontal="center" vertical="center"/>
    </xf>
    <xf numFmtId="166" fontId="0" fillId="0" borderId="14" xfId="49" applyFont="1" applyFill="1" applyBorder="1" applyAlignment="1" applyProtection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wrapText="1"/>
    </xf>
    <xf numFmtId="0" fontId="0" fillId="0" borderId="40" xfId="0" applyBorder="1" applyAlignment="1">
      <alignment horizontal="left"/>
    </xf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8" borderId="32" xfId="0" applyFont="1" applyFill="1" applyBorder="1" applyAlignment="1">
      <alignment horizontal="center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18" borderId="40" xfId="0" applyFill="1" applyBorder="1"/>
    <xf numFmtId="10" fontId="56" fillId="0" borderId="10" xfId="37" applyNumberFormat="1" applyFill="1" applyBorder="1" applyAlignment="1" applyProtection="1">
      <alignment horizontal="center"/>
    </xf>
    <xf numFmtId="10" fontId="56" fillId="0" borderId="34" xfId="37" applyNumberFormat="1" applyFill="1" applyBorder="1" applyAlignment="1" applyProtection="1">
      <alignment horizontal="center"/>
    </xf>
    <xf numFmtId="177" fontId="24" fillId="8" borderId="32" xfId="0" applyNumberFormat="1" applyFont="1" applyFill="1" applyBorder="1" applyAlignment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178" fontId="56" fillId="0" borderId="14" xfId="48" applyNumberFormat="1" applyFill="1" applyBorder="1" applyAlignment="1" applyProtection="1">
      <alignment horizontal="center" shrinkToFit="1"/>
    </xf>
    <xf numFmtId="10" fontId="56" fillId="0" borderId="31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6" fillId="0" borderId="0" xfId="37" applyNumberFormat="1" applyFill="1" applyBorder="1" applyAlignment="1" applyProtection="1">
      <alignment horizontal="center"/>
    </xf>
    <xf numFmtId="178" fontId="56" fillId="0" borderId="30" xfId="48" applyNumberFormat="1" applyFill="1" applyBorder="1" applyAlignment="1" applyProtection="1">
      <alignment horizontal="center" shrinkToFit="1"/>
    </xf>
    <xf numFmtId="178" fontId="56" fillId="0" borderId="47" xfId="48" applyNumberFormat="1" applyFill="1" applyBorder="1" applyAlignment="1" applyProtection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0" fillId="0" borderId="14" xfId="0" applyBorder="1" applyAlignment="1">
      <alignment horizontal="center"/>
    </xf>
    <xf numFmtId="0" fontId="31" fillId="0" borderId="0" xfId="0" applyFont="1" applyAlignment="1">
      <alignment horizontal="right" vertical="center" wrapText="1"/>
    </xf>
    <xf numFmtId="166" fontId="23" fillId="0" borderId="0" xfId="0" applyNumberFormat="1" applyFont="1" applyAlignment="1">
      <alignment horizontal="right" vertical="top"/>
    </xf>
    <xf numFmtId="0" fontId="23" fillId="6" borderId="33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172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4" fontId="24" fillId="0" borderId="31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9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center"/>
    </xf>
    <xf numFmtId="172" fontId="24" fillId="8" borderId="115" xfId="48" applyFont="1" applyFill="1" applyBorder="1" applyAlignment="1" applyProtection="1">
      <alignment horizontal="center" vertical="center"/>
    </xf>
    <xf numFmtId="172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0" fillId="0" borderId="39" xfId="33" applyFont="1" applyBorder="1" applyAlignment="1">
      <alignment horizontal="right"/>
    </xf>
    <xf numFmtId="181" fontId="24" fillId="0" borderId="41" xfId="48" applyNumberFormat="1" applyFont="1" applyFill="1" applyBorder="1" applyAlignment="1" applyProtection="1">
      <alignment vertical="top" shrinkToFit="1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/>
    <cellStyle name="Normal" xfId="0" builtinId="0"/>
    <cellStyle name="Normal 2" xfId="33"/>
    <cellStyle name="Normal 3" xfId="34"/>
    <cellStyle name="Normal_FICHA DE VERIFICAÇÃO PRELIMINAR - Plano R" xfId="35"/>
    <cellStyle name="Nota" xfId="36" builtinId="10" customBuiltin="1"/>
    <cellStyle name="Porcentagem" xfId="37" builtinId="5"/>
    <cellStyle name="Porcentagem 2" xfId="38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/>
    <cellStyle name="Total" xfId="47" builtinId="25" customBuiltin="1"/>
    <cellStyle name="Vírgula" xfId="48" builtinId="3"/>
    <cellStyle name="Vírgula 2" xfId="49"/>
  </cellStyles>
  <dxfs count="925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OR&#199;AMENTO!M13"/><Relationship Id="rId1" Type="http://schemas.openxmlformats.org/officeDocument/2006/relationships/hyperlink" Target="#Menu!E6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BDI!Q11"/><Relationship Id="rId1" Type="http://schemas.openxmlformats.org/officeDocument/2006/relationships/hyperlink" Target="#Menu!E6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CRONOPLE!B2"/><Relationship Id="rId1" Type="http://schemas.openxmlformats.org/officeDocument/2006/relationships/hyperlink" Target="#Menu!E6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xmlns="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xmlns="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4360" y="967740"/>
              <a:ext cx="1257300" cy="48768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xmlns="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xmlns="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xmlns="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50717" y="967743"/>
              <a:ext cx="1303020" cy="487680"/>
              <a:chOff x="1790698" y="971526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xmlns="" id="{00000000-0008-0000-0000-0000183C0000}"/>
                  </a:ext>
                </a:extLst>
              </xdr:cNvPr>
              <xdr:cNvSpPr/>
            </xdr:nvSpPr>
            <xdr:spPr bwMode="auto">
              <a:xfrm>
                <a:off x="1790698" y="971526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xmlns="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xmlns="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xmlns="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xmlns="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xmlns="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xmlns="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xmlns="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xmlns="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xmlns="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xmlns="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xmlns="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xmlns="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xmlns="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xmlns="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xmlns="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xmlns="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xmlns="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xmlns="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xmlns="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xmlns="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xmlns="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xmlns="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xmlns="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xmlns="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xmlns="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xmlns="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xmlns="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xmlns="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xmlns="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xmlns="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xmlns="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xmlns="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xmlns="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xmlns="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5"/>
  <dimension ref="A1:O25"/>
  <sheetViews>
    <sheetView showGridLines="0" zoomScaleNormal="100" zoomScaleSheetLayoutView="85" workbookViewId="0">
      <selection activeCell="E6" sqref="E6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9" t="str">
        <f>CHOOSE(MATCH(Objeto,{"PM","PO"}),"PLANILHA MÚLTIPLA ","PLANILHA ORÇAMENTÁRIA ")&amp; Versao</f>
        <v>PLANILHA MÚLTIPLA v3.0.6</v>
      </c>
      <c r="F2" s="579"/>
      <c r="G2" s="579"/>
      <c r="H2" s="458"/>
      <c r="I2" s="456"/>
      <c r="J2" t="s">
        <v>438</v>
      </c>
    </row>
    <row r="3" spans="1:15" ht="22.5" customHeight="1" x14ac:dyDescent="0.2">
      <c r="A3" s="454"/>
      <c r="B3" s="456"/>
      <c r="C3" s="456"/>
      <c r="D3" s="456"/>
      <c r="E3" s="579"/>
      <c r="F3" s="579"/>
      <c r="G3" s="579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2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8" t="str">
        <f>IF($O$3&lt;&gt;2,"DOCUMENTAÇÃO DA PROPOSTA","PROPOSTA: Para visualizar/preencher esta seção, altere o TIPO DE ORÇAMENTO para 'Proposto'")</f>
        <v>DOCUMENTAÇÃO DA PROPOSTA</v>
      </c>
      <c r="C8" s="578"/>
      <c r="D8" s="578"/>
      <c r="E8" s="578"/>
      <c r="F8" s="578"/>
      <c r="G8" s="578"/>
      <c r="H8" s="578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BDI ")</f>
        <v xml:space="preserve"> BDI </v>
      </c>
      <c r="D10" s="455"/>
      <c r="E10" s="462" t="str">
        <f>IF(TIPOORCAMENTO&lt;&gt;"Proposto",""," ORÇAMENTO ")</f>
        <v xml:space="preserve"> ORÇAMENTO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QCI ")</f>
        <v xml:space="preserve"> QCI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10-2025.xlsm.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8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8"/>
      <c r="D16" s="578"/>
      <c r="E16" s="578"/>
      <c r="F16" s="578"/>
      <c r="G16" s="578"/>
      <c r="H16" s="578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ORÇAMENTO ")</f>
        <v/>
      </c>
      <c r="D18" s="455"/>
      <c r="E18" s="465" t="str">
        <f>IF(TIPOORCAMENTO&lt;&gt;"Licitado",""," QCI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8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8"/>
      <c r="D20" s="578"/>
      <c r="E20" s="578"/>
      <c r="F20" s="578"/>
      <c r="G20" s="578"/>
      <c r="H20" s="578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RRE ")</f>
        <v/>
      </c>
      <c r="F22" s="455"/>
      <c r="G22" s="467" t="str">
        <f>IF(OR(TIPOORCAMENTO&lt;&gt;"Licitado",ACOMPANHAMENTO&lt;&gt;"BM"),""," BOLETIM DE MEDIÇÃO - BM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924" priority="70" stopIfTrue="1">
      <formula>TIPOORCAMENTO="Licitado"</formula>
    </cfRule>
  </conditionalFormatting>
  <conditionalFormatting sqref="C18:G18 E22:E24">
    <cfRule type="expression" dxfId="923" priority="71" stopIfTrue="1">
      <formula>TIPOORCAMENTO&lt;&gt;"Licitado"</formula>
    </cfRule>
  </conditionalFormatting>
  <conditionalFormatting sqref="C22">
    <cfRule type="expression" dxfId="922" priority="73" stopIfTrue="1">
      <formula>OR(TIPOORCAMENTO&lt;&gt;"Licitado",ACOMPANHAMENTO&lt;&gt;"PLE")</formula>
    </cfRule>
  </conditionalFormatting>
  <conditionalFormatting sqref="G22">
    <cfRule type="expression" dxfId="921" priority="74" stopIfTrue="1">
      <formula>OR(TIPOORCAMENTO&lt;&gt;"Licitado",ACOMPANHAMENTO&lt;&gt;"BM")</formula>
    </cfRule>
  </conditionalFormatting>
  <conditionalFormatting sqref="B16:H16 B20:H20">
    <cfRule type="expression" dxfId="920" priority="599" stopIfTrue="1">
      <formula>$O$3&lt;&gt;2</formula>
    </cfRule>
  </conditionalFormatting>
  <conditionalFormatting sqref="B8:H8">
    <cfRule type="expression" dxfId="919" priority="601" stopIfTrue="1">
      <formula>$O$3&lt;&gt;1</formula>
    </cfRule>
  </conditionalFormatting>
  <hyperlinks>
    <hyperlink ref="E6" location="DADOS!E3" display="DADOS DO CONTRATO"/>
    <hyperlink ref="G6" location="Novo!A1" display="NOVIDADES DA VERSÃO"/>
    <hyperlink ref="C10" location="BDI!Q11" display="BDI!Q11"/>
    <hyperlink ref="E10" location="ORÇAMENTO!M13" display="ORÇAMENTO"/>
    <hyperlink ref="G10" location="CÁLCULO!D13" display="MEMÓRIA DE CÁLCULO / PLQ"/>
    <hyperlink ref="E12" location="CRONO!G12" display="CRONOGRAMA FÍSICO-FINANCEIRO"/>
    <hyperlink ref="C18" location="ORÇAMENTO!AM15" display="             ORÇAMENTO             "/>
    <hyperlink ref="E18" location="QCI!D13" display="                    QCI                    "/>
    <hyperlink ref="G18" location="CRONO!G12" display="CRONOGRAMA FÍSICO-FINANCEIRO"/>
    <hyperlink ref="C22" location="PLE!J8" display="PLAN. DE LEVANT. DE EVENTOS - PLE"/>
    <hyperlink ref="E22" location="RRE!E13" display="                    RRE                    "/>
    <hyperlink ref="G22" location="BM!D13" display="BM!D13"/>
    <hyperlink ref="E24" location="Ofício!C6" display="OF. DE SOLICITAÇÃO DE DESBLOQUEIO"/>
    <hyperlink ref="C12" location="QCI!D13" display="QCI!D13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1495425</xdr:colOff>
                    <xdr:row>4</xdr:row>
                    <xdr:rowOff>161925</xdr:rowOff>
                  </from>
                  <to>
                    <xdr:col>2</xdr:col>
                    <xdr:colOff>2476500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F22" sqref="F22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81" t="s">
        <v>6</v>
      </c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581"/>
      <c r="Y1" s="581"/>
      <c r="Z1" s="581"/>
      <c r="AA1" s="581"/>
      <c r="AB1" s="581"/>
      <c r="AC1" s="581"/>
      <c r="AD1" s="581"/>
      <c r="AE1" s="581"/>
      <c r="AF1" s="581"/>
      <c r="AG1" s="581"/>
      <c r="AH1" s="581"/>
      <c r="AI1" s="581"/>
      <c r="AJ1" s="581"/>
      <c r="AK1" s="581"/>
      <c r="AL1" s="581"/>
      <c r="AM1" s="581"/>
      <c r="AN1" s="581"/>
      <c r="AO1" s="581"/>
      <c r="AP1" s="581"/>
      <c r="AQ1" s="581"/>
      <c r="AR1" s="581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80" t="s">
        <v>25</v>
      </c>
      <c r="F3" s="580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409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457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456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/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442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/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/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80" t="s">
        <v>102</v>
      </c>
      <c r="F15" s="580"/>
      <c r="J15" s="13" t="s">
        <v>20</v>
      </c>
    </row>
    <row r="16" spans="5:44" x14ac:dyDescent="0.2">
      <c r="E16" s="25" t="s">
        <v>103</v>
      </c>
      <c r="F16" s="26" t="s">
        <v>458</v>
      </c>
      <c r="J16" s="13" t="s">
        <v>21</v>
      </c>
    </row>
    <row r="17" spans="5:10" x14ac:dyDescent="0.2">
      <c r="E17" s="18" t="s">
        <v>104</v>
      </c>
      <c r="F17" s="27" t="s">
        <v>473</v>
      </c>
      <c r="J17" s="13" t="s">
        <v>22</v>
      </c>
    </row>
    <row r="18" spans="5:10" x14ac:dyDescent="0.2">
      <c r="E18" s="18" t="s">
        <v>105</v>
      </c>
      <c r="F18" s="28" t="s">
        <v>448</v>
      </c>
      <c r="J18" s="13" t="s">
        <v>23</v>
      </c>
    </row>
    <row r="19" spans="5:10" x14ac:dyDescent="0.2">
      <c r="E19" s="29" t="s">
        <v>106</v>
      </c>
      <c r="F19" s="30">
        <v>45931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80" t="s">
        <v>107</v>
      </c>
      <c r="F21" s="580"/>
      <c r="J21" s="13"/>
    </row>
    <row r="22" spans="5:10" x14ac:dyDescent="0.2">
      <c r="E22" s="16" t="s">
        <v>108</v>
      </c>
      <c r="F22" s="32" t="s">
        <v>459</v>
      </c>
    </row>
    <row r="23" spans="5:10" x14ac:dyDescent="0.2">
      <c r="E23" s="18" t="s">
        <v>109</v>
      </c>
      <c r="F23" s="19" t="s">
        <v>460</v>
      </c>
    </row>
    <row r="24" spans="5:10" x14ac:dyDescent="0.2">
      <c r="E24" s="18" t="s">
        <v>110</v>
      </c>
      <c r="F24" s="19"/>
    </row>
    <row r="25" spans="5:10" x14ac:dyDescent="0.2">
      <c r="E25" s="22" t="s">
        <v>111</v>
      </c>
      <c r="F25" s="33">
        <f ca="1">TODAY()</f>
        <v>46037</v>
      </c>
    </row>
    <row r="27" spans="5:10" ht="15" x14ac:dyDescent="0.2">
      <c r="E27" s="580" t="s">
        <v>112</v>
      </c>
      <c r="F27" s="580"/>
    </row>
    <row r="28" spans="5:10" x14ac:dyDescent="0.2">
      <c r="E28" s="14" t="s">
        <v>108</v>
      </c>
      <c r="F28" s="34" t="s">
        <v>472</v>
      </c>
    </row>
    <row r="29" spans="5:10" x14ac:dyDescent="0.2">
      <c r="E29" s="22" t="s">
        <v>113</v>
      </c>
      <c r="F29" s="35" t="s">
        <v>461</v>
      </c>
    </row>
    <row r="30" spans="5:10" ht="16.5" thickBot="1" x14ac:dyDescent="0.25">
      <c r="E30" s="8"/>
    </row>
    <row r="31" spans="5:10" ht="13.5" thickBot="1" x14ac:dyDescent="0.25">
      <c r="E31" s="573" t="s">
        <v>439</v>
      </c>
      <c r="F31" s="574" t="s">
        <v>440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80" t="s">
        <v>115</v>
      </c>
      <c r="F35" s="580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449</v>
      </c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80" t="s">
        <v>123</v>
      </c>
      <c r="F46" s="580"/>
    </row>
    <row r="47" spans="5:6" x14ac:dyDescent="0.2">
      <c r="E47" s="14" t="s">
        <v>124</v>
      </c>
      <c r="F47" s="36">
        <v>45717</v>
      </c>
    </row>
    <row r="48" spans="5:6" x14ac:dyDescent="0.2">
      <c r="E48" s="29" t="s">
        <v>125</v>
      </c>
      <c r="F48" s="38">
        <v>45777</v>
      </c>
    </row>
    <row r="49" spans="5:6" ht="15.75" x14ac:dyDescent="0.2">
      <c r="E49" s="8"/>
    </row>
    <row r="50" spans="5:6" ht="12.75" customHeight="1" x14ac:dyDescent="0.2">
      <c r="E50" s="580" t="s">
        <v>126</v>
      </c>
      <c r="F50" s="580"/>
    </row>
    <row r="51" spans="5:6" x14ac:dyDescent="0.2">
      <c r="E51" s="14" t="s">
        <v>108</v>
      </c>
      <c r="F51" s="39" t="s">
        <v>459</v>
      </c>
    </row>
    <row r="52" spans="5:6" x14ac:dyDescent="0.2">
      <c r="E52" s="18" t="s">
        <v>127</v>
      </c>
      <c r="F52" s="19" t="s">
        <v>462</v>
      </c>
    </row>
    <row r="53" spans="5:6" x14ac:dyDescent="0.2">
      <c r="E53" s="18" t="s">
        <v>128</v>
      </c>
      <c r="F53" s="19" t="s">
        <v>460</v>
      </c>
    </row>
    <row r="54" spans="5:6" x14ac:dyDescent="0.2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80" t="s">
        <v>131</v>
      </c>
      <c r="F59" s="580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918" priority="2" stopIfTrue="1">
      <formula>CAIXA.Modo=FALSE</formula>
    </cfRule>
  </conditionalFormatting>
  <conditionalFormatting sqref="E59:F61">
    <cfRule type="expression" dxfId="917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>
      <formula1>36526</formula1>
      <formula2>72686</formula2>
    </dataValidation>
    <dataValidation type="list" allowBlank="1" showErrorMessage="1" sqref="F18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>
      <formula1>0</formula1>
      <formula2>1</formula2>
    </dataValidation>
    <dataValidation type="list" allowBlank="1" showErrorMessage="1" sqref="F4">
      <formula1>"(SELECIONAR),OGU,FGTS"</formula1>
      <formula2>0</formula2>
    </dataValidation>
    <dataValidation type="decimal" operator="greaterThan" allowBlank="1" showErrorMessage="1" error="Digite um valor maior do que 0." sqref="F12">
      <formula1>0</formula1>
      <formula2>0</formula2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412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415</v>
      </c>
    </row>
    <row r="13" spans="1:4" ht="15" x14ac:dyDescent="0.25">
      <c r="A13" s="4"/>
      <c r="B13" s="48" t="s">
        <v>413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416</v>
      </c>
    </row>
    <row r="15" spans="1:4" ht="15" x14ac:dyDescent="0.2">
      <c r="A15" s="476"/>
      <c r="C15" s="49" t="str">
        <f>IF(D15&lt;&gt;"","▪","")</f>
        <v>▪</v>
      </c>
      <c r="D15" s="3" t="s">
        <v>417</v>
      </c>
    </row>
    <row r="16" spans="1:4" x14ac:dyDescent="0.2">
      <c r="A16" s="480"/>
    </row>
    <row r="17" spans="1:4" ht="18.75" x14ac:dyDescent="0.3">
      <c r="A17" s="563" t="s">
        <v>419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415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428</v>
      </c>
    </row>
    <row r="21" spans="1:4" ht="15" x14ac:dyDescent="0.25">
      <c r="A21" s="476"/>
      <c r="B21" s="48" t="s">
        <v>426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427</v>
      </c>
    </row>
    <row r="23" spans="1:4" ht="15" x14ac:dyDescent="0.25">
      <c r="A23" s="476"/>
      <c r="B23" s="48" t="s">
        <v>420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424</v>
      </c>
    </row>
    <row r="25" spans="1:4" ht="15" x14ac:dyDescent="0.25">
      <c r="A25" s="476"/>
      <c r="B25" s="48" t="s">
        <v>421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423</v>
      </c>
    </row>
    <row r="27" spans="1:4" ht="15" x14ac:dyDescent="0.25">
      <c r="A27" s="476"/>
      <c r="B27" s="48" t="s">
        <v>425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422</v>
      </c>
    </row>
    <row r="29" spans="1:4" x14ac:dyDescent="0.2">
      <c r="A29" s="480"/>
    </row>
    <row r="30" spans="1:4" ht="18.75" x14ac:dyDescent="0.3">
      <c r="A30" s="563" t="s">
        <v>429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428</v>
      </c>
    </row>
    <row r="33" spans="1:5" ht="15" x14ac:dyDescent="0.25">
      <c r="A33" s="4"/>
      <c r="B33" s="48" t="s">
        <v>430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431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432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433</v>
      </c>
    </row>
    <row r="40" spans="1:5" ht="15" x14ac:dyDescent="0.25">
      <c r="A40" s="4"/>
      <c r="B40" s="48" t="s">
        <v>420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434</v>
      </c>
    </row>
    <row r="42" spans="1:5" ht="15" x14ac:dyDescent="0.25">
      <c r="A42" s="4"/>
      <c r="B42" s="48" t="s">
        <v>421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435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436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437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441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444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445</v>
      </c>
    </row>
  </sheetData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12" activePane="bottomLeft" state="frozen"/>
      <selection activeCell="E1" sqref="E1"/>
      <selection pane="bottomLeft" activeCell="J17" sqref="J17:S17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583" t="s">
        <v>140</v>
      </c>
      <c r="S1" s="583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584" t="s">
        <v>143</v>
      </c>
      <c r="S2" s="584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585" t="s">
        <v>146</v>
      </c>
      <c r="K4" s="585"/>
      <c r="L4" s="585" t="s">
        <v>446</v>
      </c>
      <c r="M4" s="585"/>
      <c r="N4" s="585" t="s">
        <v>147</v>
      </c>
      <c r="O4" s="585"/>
      <c r="P4" s="585"/>
      <c r="Q4" s="585"/>
      <c r="R4" s="585"/>
      <c r="S4" s="585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582">
        <f>Import.CR</f>
        <v>0</v>
      </c>
      <c r="K5" s="582"/>
      <c r="L5" s="582">
        <f>Import.TransfereGOV</f>
        <v>0</v>
      </c>
      <c r="M5" s="582"/>
      <c r="N5" s="582" t="str">
        <f>Import.Proponente</f>
        <v>PREFEITURA MUNICIPAL</v>
      </c>
      <c r="O5" s="582"/>
      <c r="P5" s="582"/>
      <c r="Q5" s="582"/>
      <c r="R5" s="582"/>
      <c r="S5" s="582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611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611"/>
      <c r="J7" s="585" t="s">
        <v>151</v>
      </c>
      <c r="K7" s="585"/>
      <c r="L7" s="585"/>
      <c r="M7" s="585"/>
      <c r="N7" s="585"/>
      <c r="O7" s="585"/>
      <c r="P7" s="585"/>
      <c r="Q7" s="585"/>
      <c r="R7" s="585"/>
      <c r="S7" s="585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611"/>
      <c r="J8" s="588" t="str">
        <f>Import.Apelido&amp;" / "&amp;Import.DescLote</f>
        <v>PAVIMENTAÇÃO ASFÁLTICA / DIVERSOS TRECHOS DA ÁREA URBANA</v>
      </c>
      <c r="K8" s="588"/>
      <c r="L8" s="588"/>
      <c r="M8" s="588"/>
      <c r="N8" s="588"/>
      <c r="O8" s="588"/>
      <c r="P8" s="588"/>
      <c r="Q8" s="588"/>
      <c r="R8" s="588"/>
      <c r="S8" s="588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611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611"/>
      <c r="J10" s="589" t="s">
        <v>153</v>
      </c>
      <c r="K10" s="589"/>
      <c r="L10" s="589"/>
      <c r="M10" s="589"/>
      <c r="N10" s="589"/>
      <c r="O10" s="589"/>
      <c r="P10" s="589"/>
      <c r="Q10" s="589"/>
      <c r="R10" s="587">
        <v>0.5</v>
      </c>
      <c r="S10" s="587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586" t="s">
        <v>154</v>
      </c>
      <c r="K11" s="586"/>
      <c r="L11" s="586"/>
      <c r="M11" s="586"/>
      <c r="N11" s="586"/>
      <c r="O11" s="586"/>
      <c r="P11" s="586"/>
      <c r="Q11" s="586"/>
      <c r="R11" s="587">
        <v>0.03</v>
      </c>
      <c r="S11" s="587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594" t="s">
        <v>156</v>
      </c>
      <c r="K14" s="594"/>
      <c r="L14" s="594"/>
      <c r="M14" s="594"/>
      <c r="N14" s="594"/>
      <c r="O14" s="594"/>
      <c r="P14" s="594"/>
      <c r="Q14" s="594"/>
      <c r="R14" s="594"/>
      <c r="S14" s="594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585" t="s">
        <v>157</v>
      </c>
      <c r="K16" s="585"/>
      <c r="L16" s="585"/>
      <c r="M16" s="585"/>
      <c r="N16" s="585"/>
      <c r="O16" s="585"/>
      <c r="P16" s="585"/>
      <c r="Q16" s="585"/>
      <c r="R16" s="585"/>
      <c r="S16" s="585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591" t="s">
        <v>152</v>
      </c>
      <c r="K17" s="591"/>
      <c r="L17" s="591"/>
      <c r="M17" s="591"/>
      <c r="N17" s="591"/>
      <c r="O17" s="591"/>
      <c r="P17" s="591"/>
      <c r="Q17" s="591"/>
      <c r="R17" s="591"/>
      <c r="S17" s="591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3" t="s">
        <v>158</v>
      </c>
      <c r="K19" s="593"/>
      <c r="L19" s="593"/>
      <c r="M19" s="593"/>
      <c r="N19" s="593"/>
      <c r="O19" s="593"/>
      <c r="P19" s="593"/>
      <c r="Q19" s="593"/>
      <c r="R19" s="593" t="s">
        <v>159</v>
      </c>
      <c r="S19" s="592" t="s">
        <v>160</v>
      </c>
      <c r="U19" s="592" t="s">
        <v>161</v>
      </c>
      <c r="V19" s="592"/>
      <c r="W19" s="592"/>
      <c r="X19" s="590" t="s">
        <v>162</v>
      </c>
      <c r="Y19" s="590" t="s">
        <v>163</v>
      </c>
      <c r="Z19" s="590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3"/>
      <c r="K20" s="593"/>
      <c r="L20" s="593"/>
      <c r="M20" s="593"/>
      <c r="N20" s="593"/>
      <c r="O20" s="593"/>
      <c r="P20" s="593"/>
      <c r="Q20" s="593"/>
      <c r="R20" s="593"/>
      <c r="S20" s="592"/>
      <c r="U20" s="592"/>
      <c r="V20" s="592"/>
      <c r="W20" s="592"/>
      <c r="X20" s="590"/>
      <c r="Y20" s="590"/>
      <c r="Z20" s="590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95" t="str">
        <f>IF($J$17=$A$146,"Encargos Sociais incidentes sobre a mão de obra","Administração Central")</f>
        <v>Administração Central</v>
      </c>
      <c r="K21" s="595"/>
      <c r="L21" s="595"/>
      <c r="M21" s="595"/>
      <c r="N21" s="595"/>
      <c r="O21" s="595"/>
      <c r="P21" s="595"/>
      <c r="Q21" s="595"/>
      <c r="R21" s="61" t="str">
        <f>IF($J17=$A$146,"K1","AC")</f>
        <v>AC</v>
      </c>
      <c r="S21" s="62">
        <v>4.6699999999999998E-2</v>
      </c>
      <c r="U21" s="596" t="s">
        <v>166</v>
      </c>
      <c r="V21" s="596"/>
      <c r="W21" s="596"/>
      <c r="X21" s="63">
        <f>VLOOKUP(CONCATENATE(J17,"-",R21),$C$2:$G$136,3,FALSE)</f>
        <v>3.7999999999999999E-2</v>
      </c>
      <c r="Y21" s="63">
        <f>VLOOKUP(CONCATENATE(J17,"-",R21),$C$2:$G$136,4,FALSE)</f>
        <v>4.0099999999999997E-2</v>
      </c>
      <c r="Z21" s="63">
        <f>VLOOKUP(CONCATENATE(J17,"-",R21),$C$2:$G$136,5,FALSE)</f>
        <v>4.6699999999999998E-2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95" t="str">
        <f>IF($J$17=$A$146,"Administração Central da empresa ou consultoria - overhead","Seguro e Garantia")</f>
        <v>Seguro e Garantia</v>
      </c>
      <c r="K22" s="595"/>
      <c r="L22" s="595"/>
      <c r="M22" s="595"/>
      <c r="N22" s="595"/>
      <c r="O22" s="595"/>
      <c r="P22" s="595"/>
      <c r="Q22" s="595"/>
      <c r="R22" s="61" t="str">
        <f>IF($J17=$A$146,"K2","SG")</f>
        <v>SG</v>
      </c>
      <c r="S22" s="62">
        <v>7.4000000000000003E-3</v>
      </c>
      <c r="U22" s="596" t="s">
        <v>166</v>
      </c>
      <c r="V22" s="596"/>
      <c r="W22" s="596"/>
      <c r="X22" s="63">
        <f>VLOOKUP(CONCATENATE(J17,"-",R22),$C$2:$G$136,3,FALSE)</f>
        <v>3.2000000000000002E-3</v>
      </c>
      <c r="Y22" s="63">
        <f>VLOOKUP(CONCATENATE(J17,"-",R22),$C$2:$G$136,4,FALSE)</f>
        <v>4.0000000000000001E-3</v>
      </c>
      <c r="Z22" s="63">
        <f>VLOOKUP(CONCATENATE(J17,"-",R22),$C$2:$G$136,5,FALSE)</f>
        <v>7.4000000000000003E-3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95" t="str">
        <f>IF($J$17=$A$146,"","Risco")</f>
        <v>Risco</v>
      </c>
      <c r="K23" s="595"/>
      <c r="L23" s="595"/>
      <c r="M23" s="595"/>
      <c r="N23" s="595"/>
      <c r="O23" s="595"/>
      <c r="P23" s="595"/>
      <c r="Q23" s="595"/>
      <c r="R23" s="61" t="str">
        <f>IF($J17=$A$146,"","R")</f>
        <v>R</v>
      </c>
      <c r="S23" s="62">
        <v>9.7000000000000003E-3</v>
      </c>
      <c r="U23" s="596" t="s">
        <v>166</v>
      </c>
      <c r="V23" s="596"/>
      <c r="W23" s="596"/>
      <c r="X23" s="63">
        <f>VLOOKUP(CONCATENATE(J17,"-",R23),$C$2:$G$136,3,FALSE)</f>
        <v>5.0000000000000001E-3</v>
      </c>
      <c r="Y23" s="63">
        <f>VLOOKUP(CONCATENATE(J17,"-",R23),$C$2:$G$136,4,FALSE)</f>
        <v>5.6000000000000008E-3</v>
      </c>
      <c r="Z23" s="63">
        <f>VLOOKUP(CONCATENATE(J17,"-",R23),$C$2:$G$136,5,FALSE)</f>
        <v>9.7000000000000003E-3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95" t="str">
        <f>IF($J$17=$A$146,"","Despesas Financeiras")</f>
        <v>Despesas Financeiras</v>
      </c>
      <c r="K24" s="595"/>
      <c r="L24" s="595"/>
      <c r="M24" s="595"/>
      <c r="N24" s="595"/>
      <c r="O24" s="595"/>
      <c r="P24" s="595"/>
      <c r="Q24" s="595"/>
      <c r="R24" s="61" t="str">
        <f>IF($J17=$A$146,"","DF")</f>
        <v>DF</v>
      </c>
      <c r="S24" s="62">
        <v>1.21E-2</v>
      </c>
      <c r="U24" s="596" t="s">
        <v>166</v>
      </c>
      <c r="V24" s="596"/>
      <c r="W24" s="596"/>
      <c r="X24" s="63">
        <f>VLOOKUP(CONCATENATE(J17,"-",R24),$C$2:$G$136,3,FALSE)</f>
        <v>1.0200000000000001E-2</v>
      </c>
      <c r="Y24" s="63">
        <f>VLOOKUP(CONCATENATE(J17,"-",R24),$C$2:$G$136,4,FALSE)</f>
        <v>1.11E-2</v>
      </c>
      <c r="Z24" s="63">
        <f>VLOOKUP(CONCATENATE(J17,"-",R24),$C$2:$G$136,5,FALSE)</f>
        <v>1.21E-2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95" t="str">
        <f>IF($J$17=$A$146,"Margem bruta da empresa de consultoria","Lucro")</f>
        <v>Lucro</v>
      </c>
      <c r="K25" s="595"/>
      <c r="L25" s="595"/>
      <c r="M25" s="595"/>
      <c r="N25" s="595"/>
      <c r="O25" s="595"/>
      <c r="P25" s="595"/>
      <c r="Q25" s="595"/>
      <c r="R25" s="61" t="str">
        <f>IF($J17=$A$146,"K3","L")</f>
        <v>L</v>
      </c>
      <c r="S25" s="62">
        <v>8.6900000000000005E-2</v>
      </c>
      <c r="U25" s="596" t="s">
        <v>166</v>
      </c>
      <c r="V25" s="596"/>
      <c r="W25" s="596"/>
      <c r="X25" s="63">
        <f>VLOOKUP(CONCATENATE(J17,"-",R25),$C$2:$G$136,3,FALSE)</f>
        <v>6.6400000000000001E-2</v>
      </c>
      <c r="Y25" s="63">
        <f>VLOOKUP(CONCATENATE(J17,"-",R25),$C$2:$G$136,4,FALSE)</f>
        <v>7.2999999999999995E-2</v>
      </c>
      <c r="Z25" s="63">
        <f>VLOOKUP(CONCATENATE(J17,"-",R25),$C$2:$G$136,5,FALSE)</f>
        <v>8.6899999999999991E-2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95" t="s">
        <v>168</v>
      </c>
      <c r="K26" s="595"/>
      <c r="L26" s="595"/>
      <c r="M26" s="595"/>
      <c r="N26" s="595"/>
      <c r="O26" s="595"/>
      <c r="P26" s="595"/>
      <c r="Q26" s="595"/>
      <c r="R26" s="61" t="s">
        <v>169</v>
      </c>
      <c r="S26" s="62">
        <v>3.6499999999999998E-2</v>
      </c>
      <c r="U26" s="596" t="s">
        <v>166</v>
      </c>
      <c r="V26" s="596"/>
      <c r="W26" s="596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95" t="s">
        <v>170</v>
      </c>
      <c r="K27" s="595"/>
      <c r="L27" s="595"/>
      <c r="M27" s="595"/>
      <c r="N27" s="595"/>
      <c r="O27" s="595"/>
      <c r="P27" s="595"/>
      <c r="Q27" s="595"/>
      <c r="R27" s="61" t="s">
        <v>171</v>
      </c>
      <c r="S27" s="63">
        <f ca="1">IF(AND($J17&lt;&gt;$A$145,COUNTA(OFFSET(S20,1,0,6))&gt;0),$R$11*$R$10,0)</f>
        <v>1.4999999999999999E-2</v>
      </c>
      <c r="U27" s="596" t="s">
        <v>166</v>
      </c>
      <c r="V27" s="596"/>
      <c r="W27" s="596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95" t="s">
        <v>172</v>
      </c>
      <c r="K28" s="595"/>
      <c r="L28" s="595"/>
      <c r="M28" s="595"/>
      <c r="N28" s="595"/>
      <c r="O28" s="595"/>
      <c r="P28" s="595"/>
      <c r="Q28" s="595"/>
      <c r="R28" s="61" t="s">
        <v>173</v>
      </c>
      <c r="S28" s="63">
        <f ca="1">IF(BDI.Opcao&lt;&gt;"Desonerado",0,IF(AND($J17&lt;&gt;$A$145,COUNTA(OFFSET(S20,1,0,6))&gt;0),4.5%,0%))</f>
        <v>0</v>
      </c>
      <c r="U28" s="596" t="s">
        <v>166</v>
      </c>
      <c r="V28" s="596"/>
      <c r="W28" s="596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95" t="s">
        <v>174</v>
      </c>
      <c r="K29" s="595"/>
      <c r="L29" s="595"/>
      <c r="M29" s="595"/>
      <c r="N29" s="595"/>
      <c r="O29" s="595"/>
      <c r="P29" s="595"/>
      <c r="Q29" s="595"/>
      <c r="R29" s="65" t="s">
        <v>150</v>
      </c>
      <c r="S29" s="63">
        <f ca="1">IF($J17=$A$145,0,ROUND((((1+S21+S22+S23)*(1+S24)*(1+S25)/(1-(S26+S27)))-1),4))</f>
        <v>0.23380000000000001</v>
      </c>
      <c r="U29" s="592" t="str">
        <f ca="1">IF(OR($J$17=$A$146,$J$17=$A$145,AND(S29&gt;=X29,S29&lt;=Z29)),"OK","FORA DO INTERVALO")</f>
        <v>OK</v>
      </c>
      <c r="V29" s="592"/>
      <c r="W29" s="592"/>
      <c r="X29" s="63">
        <f>IF($J17=$A$145,0,VLOOKUP(CONCATENATE($J17,"-",$R29),$C$2:$G$136,3,FALSE))</f>
        <v>0.19600000000000001</v>
      </c>
      <c r="Y29" s="63">
        <f>IF($J17=$A$145,0,VLOOKUP(CONCATENATE($J17,"-",$R29),$C$2:$G$136,4,FALSE))</f>
        <v>0.2097</v>
      </c>
      <c r="Z29" s="63">
        <f>IF($J17=$A$145,0,VLOOKUP(CONCATENATE($J17,"-",$R29),$C$2:$G$136,5,FALSE))</f>
        <v>0.24230000000000002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9" t="s">
        <v>175</v>
      </c>
      <c r="K30" s="599"/>
      <c r="L30" s="599"/>
      <c r="M30" s="599"/>
      <c r="N30" s="599"/>
      <c r="O30" s="599"/>
      <c r="P30" s="599"/>
      <c r="Q30" s="599"/>
      <c r="R30" s="66" t="s">
        <v>176</v>
      </c>
      <c r="S30" s="67">
        <f ca="1">IF($J17=$A$145,0,ROUND((((1+S21+S22+S23)*(1+S24)*(1+S25)/(1-(S26+S27+S28)))-1),4))</f>
        <v>0.23380000000000001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600" t="str">
        <f ca="1">IF(U29&lt;&gt;"ok","Anexo: Relatório Técnico Circunstanciado justificando a adoção do percentual de cada parcela do BDI.","")</f>
        <v/>
      </c>
      <c r="L32" s="600"/>
      <c r="M32" s="600"/>
      <c r="N32" s="600"/>
      <c r="O32" s="600"/>
      <c r="P32" s="600"/>
      <c r="Q32" s="600"/>
      <c r="R32" s="600"/>
      <c r="S32" s="600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601" t="s">
        <v>178</v>
      </c>
      <c r="K34" s="601"/>
      <c r="L34" s="601"/>
      <c r="M34" s="601"/>
      <c r="N34" s="601"/>
      <c r="O34" s="601"/>
      <c r="P34" s="601"/>
      <c r="Q34" s="601"/>
      <c r="R34" s="601"/>
      <c r="S34" s="601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602" t="s">
        <v>179</v>
      </c>
      <c r="N35" s="608" t="str">
        <f>IF($J17=$A$146,"(1+K1+K2)*(1+K3)","(1+AC + S + R + G)*(1 + DF)*(1+L)")</f>
        <v>(1+AC + S + R + G)*(1 + DF)*(1+L)</v>
      </c>
      <c r="O35" s="608"/>
      <c r="P35" s="608"/>
      <c r="Q35" s="609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602"/>
      <c r="N36" s="597" t="s">
        <v>181</v>
      </c>
      <c r="O36" s="597"/>
      <c r="P36" s="597"/>
      <c r="Q36" s="609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9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50%, com a respectiva alíquota de 3%.</v>
      </c>
      <c r="K38" s="598"/>
      <c r="L38" s="598"/>
      <c r="M38" s="598"/>
      <c r="N38" s="598"/>
      <c r="O38" s="598"/>
      <c r="P38" s="598"/>
      <c r="Q38" s="598"/>
      <c r="R38" s="598"/>
      <c r="S38" s="598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9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98"/>
      <c r="L40" s="598"/>
      <c r="M40" s="598"/>
      <c r="N40" s="598"/>
      <c r="O40" s="598"/>
      <c r="P40" s="598"/>
      <c r="Q40" s="598"/>
      <c r="R40" s="598"/>
      <c r="S40" s="598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610"/>
      <c r="K43" s="610"/>
      <c r="L43" s="610"/>
      <c r="M43" s="610"/>
      <c r="N43" s="610"/>
      <c r="O43" s="610"/>
      <c r="P43" s="610"/>
      <c r="Q43" s="610"/>
      <c r="R43" s="610"/>
      <c r="S43" s="610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604" t="str">
        <f>Import.Município</f>
        <v>CÂNDIDO GODÓI</v>
      </c>
      <c r="K45" s="604"/>
      <c r="L45" s="604"/>
      <c r="M45" s="604"/>
      <c r="P45" s="605">
        <f ca="1">DADOS!$F$25</f>
        <v>46037</v>
      </c>
      <c r="Q45" s="605"/>
      <c r="R45" s="605"/>
      <c r="S45" s="605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606" t="s">
        <v>188</v>
      </c>
      <c r="K46" s="606"/>
      <c r="L46" s="606"/>
      <c r="M46" s="606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607"/>
      <c r="K48" s="607"/>
      <c r="L48" s="607"/>
      <c r="M48" s="607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603" t="s">
        <v>190</v>
      </c>
      <c r="K49" s="603"/>
      <c r="L49" s="603"/>
      <c r="M49" s="603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DANIEL RODRIGO GOERLACH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CREA/RS 130.189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>
        <v>0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>F</v>
      </c>
      <c r="J54" s="594" t="s">
        <v>191</v>
      </c>
      <c r="K54" s="594"/>
      <c r="L54" s="594"/>
      <c r="M54" s="594"/>
      <c r="N54" s="594"/>
      <c r="O54" s="594"/>
      <c r="P54" s="594"/>
      <c r="Q54" s="594"/>
      <c r="R54" s="594"/>
      <c r="S54" s="594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>F</v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>F</v>
      </c>
      <c r="J56" s="585" t="s">
        <v>157</v>
      </c>
      <c r="K56" s="585"/>
      <c r="L56" s="585"/>
      <c r="M56" s="585"/>
      <c r="N56" s="585"/>
      <c r="O56" s="585"/>
      <c r="P56" s="585"/>
      <c r="Q56" s="585"/>
      <c r="R56" s="585"/>
      <c r="S56" s="585"/>
    </row>
    <row r="57" spans="1:26" x14ac:dyDescent="0.2">
      <c r="A57"/>
      <c r="B57"/>
      <c r="C57"/>
      <c r="D57"/>
      <c r="E57"/>
      <c r="F57"/>
      <c r="G57"/>
      <c r="I57" t="str">
        <f t="shared" ca="1" si="1"/>
        <v>F</v>
      </c>
      <c r="J57" s="591" t="s">
        <v>177</v>
      </c>
      <c r="K57" s="591"/>
      <c r="L57" s="591"/>
      <c r="M57" s="591"/>
      <c r="N57" s="591"/>
      <c r="O57" s="591"/>
      <c r="P57" s="591"/>
      <c r="Q57" s="591"/>
      <c r="R57" s="591"/>
      <c r="S57" s="591"/>
    </row>
    <row r="58" spans="1:26" x14ac:dyDescent="0.2">
      <c r="A58"/>
      <c r="B58"/>
      <c r="C58"/>
      <c r="D58"/>
      <c r="E58"/>
      <c r="F58"/>
      <c r="G58"/>
      <c r="I58" t="str">
        <f t="shared" ca="1" si="1"/>
        <v>F</v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>F</v>
      </c>
      <c r="J59" s="593" t="s">
        <v>158</v>
      </c>
      <c r="K59" s="593"/>
      <c r="L59" s="593"/>
      <c r="M59" s="593"/>
      <c r="N59" s="593"/>
      <c r="O59" s="593"/>
      <c r="P59" s="593"/>
      <c r="Q59" s="593"/>
      <c r="R59" s="593" t="s">
        <v>159</v>
      </c>
      <c r="S59" s="592" t="s">
        <v>160</v>
      </c>
      <c r="U59" s="592" t="s">
        <v>161</v>
      </c>
      <c r="V59" s="592"/>
      <c r="W59" s="592"/>
      <c r="X59" s="590" t="s">
        <v>162</v>
      </c>
      <c r="Y59" s="590" t="s">
        <v>163</v>
      </c>
      <c r="Z59" s="590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>F</v>
      </c>
      <c r="J60" s="593"/>
      <c r="K60" s="593"/>
      <c r="L60" s="593"/>
      <c r="M60" s="593"/>
      <c r="N60" s="593"/>
      <c r="O60" s="593"/>
      <c r="P60" s="593"/>
      <c r="Q60" s="593"/>
      <c r="R60" s="593"/>
      <c r="S60" s="592"/>
      <c r="U60" s="592"/>
      <c r="V60" s="592"/>
      <c r="W60" s="592"/>
      <c r="X60" s="590"/>
      <c r="Y60" s="590"/>
      <c r="Z60" s="590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>F</v>
      </c>
      <c r="J61" s="595" t="str">
        <f>IF($J$17=$A$146,"Encargos Sociais incidentes sobre a mão de obra","Administração Central")</f>
        <v>Administração Central</v>
      </c>
      <c r="K61" s="595"/>
      <c r="L61" s="595"/>
      <c r="M61" s="595"/>
      <c r="N61" s="595"/>
      <c r="O61" s="595"/>
      <c r="P61" s="595"/>
      <c r="Q61" s="595"/>
      <c r="R61" s="61" t="str">
        <f>IF($J57=$A$146,"K1","AC")</f>
        <v>AC</v>
      </c>
      <c r="S61" s="62">
        <v>0.03</v>
      </c>
      <c r="U61" s="596" t="s">
        <v>166</v>
      </c>
      <c r="V61" s="596"/>
      <c r="W61" s="596"/>
      <c r="X61" s="63">
        <f>VLOOKUP(CONCATENATE(J57,"-",R61),$C$2:$G$136,3,FALSE)</f>
        <v>1.4999999999999999E-2</v>
      </c>
      <c r="Y61" s="63">
        <f>VLOOKUP(CONCATENATE(J57,"-",R61),$C$2:$G$136,4,FALSE)</f>
        <v>3.4500000000000003E-2</v>
      </c>
      <c r="Z61" s="63">
        <f>VLOOKUP(CONCATENATE(J57,"-",R61),$C$2:$G$136,5,FALSE)</f>
        <v>4.4900000000000002E-2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>F</v>
      </c>
      <c r="J62" s="595" t="str">
        <f>IF($J$17=$A$146,"Administração Central da empresa ou consultoria - overhead","Seguro e Garantia")</f>
        <v>Seguro e Garantia</v>
      </c>
      <c r="K62" s="595"/>
      <c r="L62" s="595"/>
      <c r="M62" s="595"/>
      <c r="N62" s="595"/>
      <c r="O62" s="595"/>
      <c r="P62" s="595"/>
      <c r="Q62" s="595"/>
      <c r="R62" s="61" t="str">
        <f>IF($J57=$A$146,"K2","SG")</f>
        <v>SG</v>
      </c>
      <c r="S62" s="62">
        <v>3.0000000000000001E-3</v>
      </c>
      <c r="U62" s="596" t="s">
        <v>166</v>
      </c>
      <c r="V62" s="596"/>
      <c r="W62" s="596"/>
      <c r="X62" s="63">
        <f>VLOOKUP(CONCATENATE(J57,"-",R62),$C$2:$G$136,3,FALSE)</f>
        <v>3.0000000000000001E-3</v>
      </c>
      <c r="Y62" s="63">
        <f>VLOOKUP(CONCATENATE(J57,"-",R62),$C$2:$G$136,4,FALSE)</f>
        <v>4.7999999999999996E-3</v>
      </c>
      <c r="Z62" s="63">
        <f>VLOOKUP(CONCATENATE(J57,"-",R62),$C$2:$G$136,5,FALSE)</f>
        <v>8.199999999999999E-3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>F</v>
      </c>
      <c r="J63" s="595" t="str">
        <f>IF($J$17=$A$146,"","Risco")</f>
        <v>Risco</v>
      </c>
      <c r="K63" s="595"/>
      <c r="L63" s="595"/>
      <c r="M63" s="595"/>
      <c r="N63" s="595"/>
      <c r="O63" s="595"/>
      <c r="P63" s="595"/>
      <c r="Q63" s="595"/>
      <c r="R63" s="61" t="str">
        <f>IF($J57=$A$146,"","R")</f>
        <v>R</v>
      </c>
      <c r="S63" s="62">
        <v>6.0000000000000001E-3</v>
      </c>
      <c r="U63" s="596" t="s">
        <v>166</v>
      </c>
      <c r="V63" s="596"/>
      <c r="W63" s="596"/>
      <c r="X63" s="63">
        <f>VLOOKUP(CONCATENATE(J57,"-",R63),$C$2:$G$136,3,FALSE)</f>
        <v>5.6000000000000008E-3</v>
      </c>
      <c r="Y63" s="63">
        <f>VLOOKUP(CONCATENATE(J57,"-",R63),$C$2:$G$136,4,FALSE)</f>
        <v>8.5000000000000006E-3</v>
      </c>
      <c r="Z63" s="63">
        <f>VLOOKUP(CONCATENATE(J57,"-",R63),$C$2:$G$136,5,FALSE)</f>
        <v>8.8999999999999999E-3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>F</v>
      </c>
      <c r="J64" s="595" t="str">
        <f>IF($J$17=$A$146,"","Despesas Financeiras")</f>
        <v>Despesas Financeiras</v>
      </c>
      <c r="K64" s="595"/>
      <c r="L64" s="595"/>
      <c r="M64" s="595"/>
      <c r="N64" s="595"/>
      <c r="O64" s="595"/>
      <c r="P64" s="595"/>
      <c r="Q64" s="595"/>
      <c r="R64" s="61" t="str">
        <f>IF($J57=$A$146,"","DF")</f>
        <v>DF</v>
      </c>
      <c r="S64" s="62">
        <v>8.5000000000000006E-3</v>
      </c>
      <c r="U64" s="596" t="s">
        <v>166</v>
      </c>
      <c r="V64" s="596"/>
      <c r="W64" s="596"/>
      <c r="X64" s="63">
        <f>VLOOKUP(CONCATENATE(J57,"-",R64),$C$2:$G$136,3,FALSE)</f>
        <v>8.5000000000000006E-3</v>
      </c>
      <c r="Y64" s="63">
        <f>VLOOKUP(CONCATENATE(J57,"-",R64),$C$2:$G$136,4,FALSE)</f>
        <v>8.5000000000000006E-3</v>
      </c>
      <c r="Z64" s="63">
        <f>VLOOKUP(CONCATENATE(J57,"-",R64),$C$2:$G$136,5,FALSE)</f>
        <v>1.11E-2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>F</v>
      </c>
      <c r="J65" s="595" t="str">
        <f>IF($J$17=$A$146,"Margem bruta da empresa de consultoria","Lucro")</f>
        <v>Lucro</v>
      </c>
      <c r="K65" s="595"/>
      <c r="L65" s="595"/>
      <c r="M65" s="595"/>
      <c r="N65" s="595"/>
      <c r="O65" s="595"/>
      <c r="P65" s="595"/>
      <c r="Q65" s="595"/>
      <c r="R65" s="61" t="str">
        <f>IF($J57=$A$146,"K3","L")</f>
        <v>L</v>
      </c>
      <c r="S65" s="62">
        <v>4.1000000000000002E-2</v>
      </c>
      <c r="U65" s="596" t="s">
        <v>166</v>
      </c>
      <c r="V65" s="596"/>
      <c r="W65" s="596"/>
      <c r="X65" s="63">
        <f>VLOOKUP(CONCATENATE(J57,"-",R65),$C$2:$G$136,3,FALSE)</f>
        <v>3.5000000000000003E-2</v>
      </c>
      <c r="Y65" s="63">
        <f>VLOOKUP(CONCATENATE(J57,"-",R65),$C$2:$G$136,4,FALSE)</f>
        <v>5.1100000000000007E-2</v>
      </c>
      <c r="Z65" s="63">
        <f>VLOOKUP(CONCATENATE(J57,"-",R65),$C$2:$G$136,5,FALSE)</f>
        <v>6.2199999999999998E-2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>F</v>
      </c>
      <c r="J66" s="595" t="s">
        <v>168</v>
      </c>
      <c r="K66" s="595"/>
      <c r="L66" s="595"/>
      <c r="M66" s="595"/>
      <c r="N66" s="595"/>
      <c r="O66" s="595"/>
      <c r="P66" s="595"/>
      <c r="Q66" s="595"/>
      <c r="R66" s="61" t="s">
        <v>169</v>
      </c>
      <c r="S66" s="62">
        <v>3.6499999999999998E-2</v>
      </c>
      <c r="U66" s="596" t="s">
        <v>166</v>
      </c>
      <c r="V66" s="596"/>
      <c r="W66" s="596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>F</v>
      </c>
      <c r="J67" s="595" t="s">
        <v>170</v>
      </c>
      <c r="K67" s="595"/>
      <c r="L67" s="595"/>
      <c r="M67" s="595"/>
      <c r="N67" s="595"/>
      <c r="O67" s="595"/>
      <c r="P67" s="595"/>
      <c r="Q67" s="595"/>
      <c r="R67" s="61" t="s">
        <v>171</v>
      </c>
      <c r="S67" s="63">
        <f ca="1">IF(AND($J57&lt;&gt;$A$145,COUNTA(OFFSET(S60,1,0,6))&gt;0),$R$11*$R$10,0)</f>
        <v>1.4999999999999999E-2</v>
      </c>
      <c r="U67" s="596" t="s">
        <v>166</v>
      </c>
      <c r="V67" s="596"/>
      <c r="W67" s="596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>F</v>
      </c>
      <c r="J68" s="595" t="s">
        <v>172</v>
      </c>
      <c r="K68" s="595"/>
      <c r="L68" s="595"/>
      <c r="M68" s="595"/>
      <c r="N68" s="595"/>
      <c r="O68" s="595"/>
      <c r="P68" s="595"/>
      <c r="Q68" s="595"/>
      <c r="R68" s="61" t="s">
        <v>173</v>
      </c>
      <c r="S68" s="63">
        <f ca="1">IF(BDI.Opcao&lt;&gt;"Desonerado",0,IF(AND($J57&lt;&gt;$A$145,COUNTA(OFFSET(S60,1,0,6))&gt;0),4.5%,0%))</f>
        <v>0</v>
      </c>
      <c r="U68" s="596" t="s">
        <v>166</v>
      </c>
      <c r="V68" s="596"/>
      <c r="W68" s="596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>F</v>
      </c>
      <c r="J69" s="595" t="s">
        <v>174</v>
      </c>
      <c r="K69" s="595"/>
      <c r="L69" s="595"/>
      <c r="M69" s="595"/>
      <c r="N69" s="595"/>
      <c r="O69" s="595"/>
      <c r="P69" s="595"/>
      <c r="Q69" s="595"/>
      <c r="R69" s="65" t="s">
        <v>150</v>
      </c>
      <c r="S69" s="63">
        <f ca="1">IF($J57=$A$145,0,ROUND((((1+S61+S62+S63)*(1+S64)*(1+S65)/(1-(S66+S67)))-1),4))</f>
        <v>0.15</v>
      </c>
      <c r="U69" s="592" t="str">
        <f ca="1">IF(OR($J$17=$A$146,$J$17=$A$145,AND(S69&gt;=X69,S69&lt;=Z69)),"OK","FORA DO INTERVALO")</f>
        <v>OK</v>
      </c>
      <c r="V69" s="592"/>
      <c r="W69" s="592"/>
      <c r="X69" s="63">
        <f>IF($J57=$A$145,0,VLOOKUP(CONCATENATE($J57,"-",$R69),$C$2:$G$136,3,FALSE))</f>
        <v>0.111</v>
      </c>
      <c r="Y69" s="63">
        <f>IF($J57=$A$145,0,VLOOKUP(CONCATENATE($J57,"-",$R69),$C$2:$G$136,4,FALSE))</f>
        <v>0.14019999999999999</v>
      </c>
      <c r="Z69" s="63">
        <f>IF($J57=$A$145,0,VLOOKUP(CONCATENATE($J57,"-",$R69),$C$2:$G$136,5,FALSE))</f>
        <v>0.16800000000000001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>F</v>
      </c>
      <c r="J70" s="599" t="s">
        <v>175</v>
      </c>
      <c r="K70" s="599"/>
      <c r="L70" s="599"/>
      <c r="M70" s="599"/>
      <c r="N70" s="599"/>
      <c r="O70" s="599"/>
      <c r="P70" s="599"/>
      <c r="Q70" s="599"/>
      <c r="R70" s="66" t="s">
        <v>176</v>
      </c>
      <c r="S70" s="67">
        <f ca="1">IF($J57=$A$145,0,ROUND((((1+S61+S62+S63)*(1+S64)*(1+S65)/(1-(S66+S67+S68)))-1),4))</f>
        <v>0.15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>F</v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>F</v>
      </c>
      <c r="J72" s="68" t="str">
        <f ca="1">IF(U69&lt;&gt;"ok","X","")</f>
        <v/>
      </c>
      <c r="K72" s="600" t="str">
        <f ca="1">IF(U69&lt;&gt;"ok","Anexo: Relatório Técnico Circunstanciado justificando a adoção do percentual de cada parcela do BDI.","")</f>
        <v/>
      </c>
      <c r="L72" s="600"/>
      <c r="M72" s="600"/>
      <c r="N72" s="600"/>
      <c r="O72" s="600"/>
      <c r="P72" s="600"/>
      <c r="Q72" s="600"/>
      <c r="R72" s="600"/>
      <c r="S72" s="600"/>
    </row>
    <row r="73" spans="1:26" x14ac:dyDescent="0.2">
      <c r="A73"/>
      <c r="B73"/>
      <c r="C73"/>
      <c r="D73"/>
      <c r="E73"/>
      <c r="F73"/>
      <c r="G73"/>
      <c r="I73" t="str">
        <f t="shared" ca="1" si="1"/>
        <v>F</v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>F</v>
      </c>
      <c r="J74" s="601" t="s">
        <v>178</v>
      </c>
      <c r="K74" s="601"/>
      <c r="L74" s="601"/>
      <c r="M74" s="601"/>
      <c r="N74" s="601"/>
      <c r="O74" s="601"/>
      <c r="P74" s="601"/>
      <c r="Q74" s="601"/>
      <c r="R74" s="601"/>
      <c r="S74" s="601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>F</v>
      </c>
      <c r="J75" s="69"/>
      <c r="K75" s="69"/>
      <c r="L75" s="69"/>
      <c r="M75" s="602" t="s">
        <v>179</v>
      </c>
      <c r="N75" s="608" t="str">
        <f>IF($J57=$A$146,"(1+K1+K2)*(1+K3)","(1+AC + S + R + G)*(1 + DF)*(1+L)")</f>
        <v>(1+AC + S + R + G)*(1 + DF)*(1+L)</v>
      </c>
      <c r="O75" s="608"/>
      <c r="P75" s="608"/>
      <c r="Q75" s="609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>F</v>
      </c>
      <c r="J76" s="69"/>
      <c r="K76" s="69"/>
      <c r="L76" s="69"/>
      <c r="M76" s="602"/>
      <c r="N76" s="597" t="s">
        <v>181</v>
      </c>
      <c r="O76" s="597"/>
      <c r="P76" s="597"/>
      <c r="Q76" s="609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>F</v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>F</v>
      </c>
      <c r="J78" s="59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50%, com a respectiva alíquota de 3%.</v>
      </c>
      <c r="K78" s="598"/>
      <c r="L78" s="598"/>
      <c r="M78" s="598"/>
      <c r="N78" s="598"/>
      <c r="O78" s="598"/>
      <c r="P78" s="598"/>
      <c r="Q78" s="598"/>
      <c r="R78" s="598"/>
      <c r="S78" s="598"/>
    </row>
    <row r="79" spans="1:26" x14ac:dyDescent="0.2">
      <c r="A79"/>
      <c r="B79"/>
      <c r="C79"/>
      <c r="D79"/>
      <c r="E79"/>
      <c r="F79"/>
      <c r="G79"/>
      <c r="I79" t="str">
        <f t="shared" ca="1" si="1"/>
        <v>F</v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>F</v>
      </c>
      <c r="J80" s="59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98"/>
      <c r="L80" s="598"/>
      <c r="M80" s="598"/>
      <c r="N80" s="598"/>
      <c r="O80" s="598"/>
      <c r="P80" s="598"/>
      <c r="Q80" s="598"/>
      <c r="R80" s="598"/>
      <c r="S80" s="598"/>
    </row>
    <row r="81" spans="1:19" x14ac:dyDescent="0.2">
      <c r="A81"/>
      <c r="B81"/>
      <c r="C81"/>
      <c r="D81"/>
      <c r="E81"/>
      <c r="F81"/>
      <c r="G81"/>
      <c r="I81" t="str">
        <f t="shared" ca="1" si="1"/>
        <v>F</v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>F</v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>F</v>
      </c>
      <c r="J83" s="610"/>
      <c r="K83" s="610"/>
      <c r="L83" s="610"/>
      <c r="M83" s="610"/>
      <c r="N83" s="610"/>
      <c r="O83" s="610"/>
      <c r="P83" s="610"/>
      <c r="Q83" s="610"/>
      <c r="R83" s="610"/>
      <c r="S83" s="610"/>
    </row>
    <row r="84" spans="1:19" x14ac:dyDescent="0.2">
      <c r="A84"/>
      <c r="B84"/>
      <c r="C84"/>
      <c r="D84"/>
      <c r="E84"/>
      <c r="F84"/>
      <c r="G84"/>
      <c r="I84" t="str">
        <f t="shared" ca="1" si="1"/>
        <v>F</v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>F</v>
      </c>
      <c r="J85" s="604" t="str">
        <f>Import.Município</f>
        <v>CÂNDIDO GODÓI</v>
      </c>
      <c r="K85" s="604"/>
      <c r="L85" s="604"/>
      <c r="M85" s="604"/>
      <c r="P85" s="605">
        <f ca="1">DADOS!$F$25</f>
        <v>46037</v>
      </c>
      <c r="Q85" s="605"/>
      <c r="R85" s="605"/>
      <c r="S85" s="605"/>
    </row>
    <row r="86" spans="1:19" x14ac:dyDescent="0.2">
      <c r="A86"/>
      <c r="B86"/>
      <c r="C86"/>
      <c r="D86"/>
      <c r="E86"/>
      <c r="F86"/>
      <c r="G86"/>
      <c r="I86" t="str">
        <f t="shared" ca="1" si="1"/>
        <v>F</v>
      </c>
      <c r="J86" s="606" t="s">
        <v>188</v>
      </c>
      <c r="K86" s="606"/>
      <c r="L86" s="606"/>
      <c r="M86" s="606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>F</v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>F</v>
      </c>
      <c r="J88" s="607"/>
      <c r="K88" s="607"/>
      <c r="L88" s="607"/>
      <c r="M88" s="607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>F</v>
      </c>
      <c r="J89" s="603" t="s">
        <v>190</v>
      </c>
      <c r="K89" s="603"/>
      <c r="L89" s="603"/>
      <c r="M89" s="603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>F</v>
      </c>
      <c r="J90" s="78" t="s">
        <v>108</v>
      </c>
      <c r="K90" s="79" t="str">
        <f t="array" ref="K90:K92">Import.RespOrçamento</f>
        <v>DANIEL RODRIGO GOERLACH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>F</v>
      </c>
      <c r="J91" s="78" t="s">
        <v>109</v>
      </c>
      <c r="K91" s="79" t="str">
        <v>CREA/RS 130.189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>F</v>
      </c>
      <c r="J92" s="78" t="s">
        <v>110</v>
      </c>
      <c r="K92" s="79">
        <v>0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>F</v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594" t="s">
        <v>192</v>
      </c>
      <c r="K94" s="594"/>
      <c r="L94" s="594"/>
      <c r="M94" s="594"/>
      <c r="N94" s="594"/>
      <c r="O94" s="594"/>
      <c r="P94" s="594"/>
      <c r="Q94" s="594"/>
      <c r="R94" s="594"/>
      <c r="S94" s="594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585" t="s">
        <v>157</v>
      </c>
      <c r="K96" s="585"/>
      <c r="L96" s="585"/>
      <c r="M96" s="585"/>
      <c r="N96" s="585"/>
      <c r="O96" s="585"/>
      <c r="P96" s="585"/>
      <c r="Q96" s="585"/>
      <c r="R96" s="585"/>
      <c r="S96" s="585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591" t="s">
        <v>409</v>
      </c>
      <c r="K97" s="591"/>
      <c r="L97" s="591"/>
      <c r="M97" s="591"/>
      <c r="N97" s="591"/>
      <c r="O97" s="591"/>
      <c r="P97" s="591"/>
      <c r="Q97" s="591"/>
      <c r="R97" s="591"/>
      <c r="S97" s="591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593" t="s">
        <v>158</v>
      </c>
      <c r="K99" s="593"/>
      <c r="L99" s="593"/>
      <c r="M99" s="593"/>
      <c r="N99" s="593"/>
      <c r="O99" s="593"/>
      <c r="P99" s="593"/>
      <c r="Q99" s="593"/>
      <c r="R99" s="593" t="s">
        <v>159</v>
      </c>
      <c r="S99" s="592" t="s">
        <v>160</v>
      </c>
      <c r="U99" s="592" t="s">
        <v>161</v>
      </c>
      <c r="V99" s="592"/>
      <c r="W99" s="592"/>
      <c r="X99" s="590" t="s">
        <v>162</v>
      </c>
      <c r="Y99" s="590" t="s">
        <v>163</v>
      </c>
      <c r="Z99" s="590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593"/>
      <c r="K100" s="593"/>
      <c r="L100" s="593"/>
      <c r="M100" s="593"/>
      <c r="N100" s="593"/>
      <c r="O100" s="593"/>
      <c r="P100" s="593"/>
      <c r="Q100" s="593"/>
      <c r="R100" s="593"/>
      <c r="S100" s="592"/>
      <c r="U100" s="592"/>
      <c r="V100" s="592"/>
      <c r="W100" s="592"/>
      <c r="X100" s="590"/>
      <c r="Y100" s="590"/>
      <c r="Z100" s="590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595" t="str">
        <f>IF($J$17=$A$146,"Encargos Sociais incidentes sobre a mão de obra","Administração Central")</f>
        <v>Administração Central</v>
      </c>
      <c r="K101" s="595"/>
      <c r="L101" s="595"/>
      <c r="M101" s="595"/>
      <c r="N101" s="595"/>
      <c r="O101" s="595"/>
      <c r="P101" s="595"/>
      <c r="Q101" s="595"/>
      <c r="R101" s="61" t="str">
        <f>IF($J97=$A$146,"K1","AC")</f>
        <v>AC</v>
      </c>
      <c r="S101" s="62"/>
      <c r="U101" s="596" t="s">
        <v>166</v>
      </c>
      <c r="V101" s="596"/>
      <c r="W101" s="596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595" t="str">
        <f>IF($J$17=$A$146,"Administração Central da empresa ou consultoria - overhead","Seguro e Garantia")</f>
        <v>Seguro e Garantia</v>
      </c>
      <c r="K102" s="595"/>
      <c r="L102" s="595"/>
      <c r="M102" s="595"/>
      <c r="N102" s="595"/>
      <c r="O102" s="595"/>
      <c r="P102" s="595"/>
      <c r="Q102" s="595"/>
      <c r="R102" s="61" t="str">
        <f>IF($J97=$A$146,"K2","SG")</f>
        <v>SG</v>
      </c>
      <c r="S102" s="62"/>
      <c r="U102" s="596" t="s">
        <v>166</v>
      </c>
      <c r="V102" s="596"/>
      <c r="W102" s="596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595" t="str">
        <f>IF($J$17=$A$146,"","Risco")</f>
        <v>Risco</v>
      </c>
      <c r="K103" s="595"/>
      <c r="L103" s="595"/>
      <c r="M103" s="595"/>
      <c r="N103" s="595"/>
      <c r="O103" s="595"/>
      <c r="P103" s="595"/>
      <c r="Q103" s="595"/>
      <c r="R103" s="61" t="str">
        <f>IF($J97=$A$146,"","R")</f>
        <v>R</v>
      </c>
      <c r="S103" s="62"/>
      <c r="U103" s="596" t="s">
        <v>166</v>
      </c>
      <c r="V103" s="596"/>
      <c r="W103" s="596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595" t="str">
        <f>IF($J$17=$A$146,"","Despesas Financeiras")</f>
        <v>Despesas Financeiras</v>
      </c>
      <c r="K104" s="595"/>
      <c r="L104" s="595"/>
      <c r="M104" s="595"/>
      <c r="N104" s="595"/>
      <c r="O104" s="595"/>
      <c r="P104" s="595"/>
      <c r="Q104" s="595"/>
      <c r="R104" s="61" t="str">
        <f>IF($J97=$A$146,"","DF")</f>
        <v>DF</v>
      </c>
      <c r="S104" s="62"/>
      <c r="U104" s="596" t="s">
        <v>166</v>
      </c>
      <c r="V104" s="596"/>
      <c r="W104" s="596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595" t="str">
        <f>IF($J$17=$A$146,"Margem bruta da empresa de consultoria","Lucro")</f>
        <v>Lucro</v>
      </c>
      <c r="K105" s="595"/>
      <c r="L105" s="595"/>
      <c r="M105" s="595"/>
      <c r="N105" s="595"/>
      <c r="O105" s="595"/>
      <c r="P105" s="595"/>
      <c r="Q105" s="595"/>
      <c r="R105" s="61" t="str">
        <f>IF($J97=$A$146,"K3","L")</f>
        <v>L</v>
      </c>
      <c r="S105" s="62"/>
      <c r="U105" s="596" t="s">
        <v>166</v>
      </c>
      <c r="V105" s="596"/>
      <c r="W105" s="596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595" t="s">
        <v>168</v>
      </c>
      <c r="K106" s="595"/>
      <c r="L106" s="595"/>
      <c r="M106" s="595"/>
      <c r="N106" s="595"/>
      <c r="O106" s="595"/>
      <c r="P106" s="595"/>
      <c r="Q106" s="595"/>
      <c r="R106" s="61" t="s">
        <v>169</v>
      </c>
      <c r="S106" s="62"/>
      <c r="U106" s="596" t="s">
        <v>166</v>
      </c>
      <c r="V106" s="596"/>
      <c r="W106" s="596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595" t="s">
        <v>170</v>
      </c>
      <c r="K107" s="595"/>
      <c r="L107" s="595"/>
      <c r="M107" s="595"/>
      <c r="N107" s="595"/>
      <c r="O107" s="595"/>
      <c r="P107" s="595"/>
      <c r="Q107" s="595"/>
      <c r="R107" s="61" t="s">
        <v>171</v>
      </c>
      <c r="S107" s="63">
        <f ca="1">IF(AND($J97&lt;&gt;$A$145,COUNTA(OFFSET(S100,1,0,6))&gt;0),$R$11*$R$10,0)</f>
        <v>0</v>
      </c>
      <c r="U107" s="596" t="s">
        <v>166</v>
      </c>
      <c r="V107" s="596"/>
      <c r="W107" s="596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595" t="s">
        <v>172</v>
      </c>
      <c r="K108" s="595"/>
      <c r="L108" s="595"/>
      <c r="M108" s="595"/>
      <c r="N108" s="595"/>
      <c r="O108" s="595"/>
      <c r="P108" s="595"/>
      <c r="Q108" s="595"/>
      <c r="R108" s="61" t="s">
        <v>173</v>
      </c>
      <c r="S108" s="63">
        <f ca="1">IF(BDI.Opcao&lt;&gt;"Desonerado",0,IF(AND($J97&lt;&gt;$A$145,COUNTA(OFFSET(S100,1,0,6))&gt;0),4.5%,0%))</f>
        <v>0</v>
      </c>
      <c r="U108" s="596" t="s">
        <v>166</v>
      </c>
      <c r="V108" s="596"/>
      <c r="W108" s="596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595" t="s">
        <v>174</v>
      </c>
      <c r="K109" s="595"/>
      <c r="L109" s="595"/>
      <c r="M109" s="595"/>
      <c r="N109" s="595"/>
      <c r="O109" s="595"/>
      <c r="P109" s="595"/>
      <c r="Q109" s="595"/>
      <c r="R109" s="65" t="s">
        <v>150</v>
      </c>
      <c r="S109" s="63">
        <f ca="1">IF($J97=$A$145,0,ROUND((((1+S101+S102+S103)*(1+S104)*(1+S105)/(1-(S106+S107)))-1),4))</f>
        <v>0</v>
      </c>
      <c r="U109" s="592" t="e">
        <f ca="1">IF(OR($J$17=$A$146,$J$17=$A$145,AND(S109&gt;=X109,S109&lt;=Z109)),"OK","FORA DO INTERVALO")</f>
        <v>#N/A</v>
      </c>
      <c r="V109" s="592"/>
      <c r="W109" s="592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599" t="s">
        <v>175</v>
      </c>
      <c r="K110" s="599"/>
      <c r="L110" s="599"/>
      <c r="M110" s="599"/>
      <c r="N110" s="599"/>
      <c r="O110" s="599"/>
      <c r="P110" s="599"/>
      <c r="Q110" s="599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600" t="e">
        <f ca="1">IF(U109&lt;&gt;"ok","Anexo: Relatório Técnico Circunstanciado justificando a adoção do percentual de cada parcela do BDI.","")</f>
        <v>#N/A</v>
      </c>
      <c r="L112" s="600"/>
      <c r="M112" s="600"/>
      <c r="N112" s="600"/>
      <c r="O112" s="600"/>
      <c r="P112" s="600"/>
      <c r="Q112" s="600"/>
      <c r="R112" s="600"/>
      <c r="S112" s="600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601" t="s">
        <v>178</v>
      </c>
      <c r="K114" s="601"/>
      <c r="L114" s="601"/>
      <c r="M114" s="601"/>
      <c r="N114" s="601"/>
      <c r="O114" s="601"/>
      <c r="P114" s="601"/>
      <c r="Q114" s="601"/>
      <c r="R114" s="601"/>
      <c r="S114" s="601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602" t="s">
        <v>179</v>
      </c>
      <c r="N115" s="608" t="str">
        <f>IF($J97=$A$146,"(1+K1+K2)*(1+K3)","(1+AC + S + R + G)*(1 + DF)*(1+L)")</f>
        <v>(1+AC + S + R + G)*(1 + DF)*(1+L)</v>
      </c>
      <c r="O115" s="608"/>
      <c r="P115" s="608"/>
      <c r="Q115" s="609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602"/>
      <c r="N116" s="597" t="s">
        <v>181</v>
      </c>
      <c r="O116" s="597"/>
      <c r="P116" s="597"/>
      <c r="Q116" s="609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59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50%, com a respectiva alíquota de 3%.</v>
      </c>
      <c r="K118" s="598"/>
      <c r="L118" s="598"/>
      <c r="M118" s="598"/>
      <c r="N118" s="598"/>
      <c r="O118" s="598"/>
      <c r="P118" s="598"/>
      <c r="Q118" s="598"/>
      <c r="R118" s="598"/>
      <c r="S118" s="598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59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98"/>
      <c r="L120" s="598"/>
      <c r="M120" s="598"/>
      <c r="N120" s="598"/>
      <c r="O120" s="598"/>
      <c r="P120" s="598"/>
      <c r="Q120" s="598"/>
      <c r="R120" s="598"/>
      <c r="S120" s="598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610"/>
      <c r="K123" s="610"/>
      <c r="L123" s="610"/>
      <c r="M123" s="610"/>
      <c r="N123" s="610"/>
      <c r="O123" s="610"/>
      <c r="P123" s="610"/>
      <c r="Q123" s="610"/>
      <c r="R123" s="610"/>
      <c r="S123" s="610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604" t="str">
        <f>Import.Município</f>
        <v>CÂNDIDO GODÓI</v>
      </c>
      <c r="K125" s="604"/>
      <c r="L125" s="604"/>
      <c r="M125" s="604"/>
      <c r="P125" s="605">
        <f ca="1">DADOS!$F$25</f>
        <v>46037</v>
      </c>
      <c r="Q125" s="605"/>
      <c r="R125" s="605"/>
      <c r="S125" s="605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606" t="s">
        <v>188</v>
      </c>
      <c r="K126" s="606"/>
      <c r="L126" s="606"/>
      <c r="M126" s="606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607"/>
      <c r="K128" s="607"/>
      <c r="L128" s="607"/>
      <c r="M128" s="607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603" t="s">
        <v>190</v>
      </c>
      <c r="K129" s="603"/>
      <c r="L129" s="603"/>
      <c r="M129" s="603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DANIEL RODRIGO GOERLACH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CREA/RS 130.189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>
        <v>0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409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autoFilter ref="I11:I132"/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8" type="noConversion"/>
  <conditionalFormatting sqref="J30:S30 J70:S70 J110:S110">
    <cfRule type="expression" dxfId="916" priority="2" stopIfTrue="1">
      <formula>DESONERACAO="não"</formula>
    </cfRule>
  </conditionalFormatting>
  <conditionalFormatting sqref="U29:W29 U69:W69 U109:W109">
    <cfRule type="expression" dxfId="915" priority="3" stopIfTrue="1">
      <formula>AND(U29&lt;&gt;"OK",U29&lt;&gt;"-",U29&lt;&gt;"")</formula>
    </cfRule>
    <cfRule type="cellIs" dxfId="914" priority="4" stopIfTrue="1" operator="equal">
      <formula>"OK"</formula>
    </cfRule>
  </conditionalFormatting>
  <conditionalFormatting sqref="S29 S69 S109">
    <cfRule type="expression" dxfId="913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>
      <formula1>0</formula1>
      <formula2>1</formula2>
    </dataValidation>
    <dataValidation type="decimal" allowBlank="1" showErrorMessage="1" errorTitle="Erro de valores" error="Digite um valor maior do que 0." sqref="S27 S67 S107">
      <formula1>0</formula1>
      <formula2>1</formula2>
    </dataValidation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list" allowBlank="1" showErrorMessage="1" sqref="J17:S17 J57:S57 J97:S97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>
    <pageSetUpPr fitToPage="1"/>
  </sheetPr>
  <dimension ref="A1:AN136"/>
  <sheetViews>
    <sheetView showGridLines="0" zoomScale="90" zoomScaleNormal="90" zoomScaleSheetLayoutView="90" workbookViewId="0">
      <pane xSplit="19" ySplit="15" topLeftCell="T16" activePane="bottomRight" state="frozen"/>
      <selection activeCell="L1" sqref="L1"/>
      <selection pane="topRight" activeCell="T1" sqref="T1"/>
      <selection pane="bottomLeft" activeCell="L16" sqref="L16"/>
      <selection pane="bottomRight" activeCell="R18" sqref="R18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(SELECIONAR)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585" t="s">
        <v>146</v>
      </c>
      <c r="P4" s="585"/>
      <c r="Q4" s="89" t="s">
        <v>443</v>
      </c>
      <c r="R4" s="89" t="s">
        <v>147</v>
      </c>
      <c r="S4" s="585" t="s">
        <v>202</v>
      </c>
      <c r="T4" s="585"/>
      <c r="U4" s="585"/>
      <c r="V4" s="585"/>
      <c r="W4" s="585"/>
      <c r="X4" s="585"/>
      <c r="Y4" s="78"/>
      <c r="Z4" s="78"/>
      <c r="AA4" s="78"/>
      <c r="AB4" s="78"/>
    </row>
    <row r="5" spans="1:40" ht="12.75" customHeight="1" x14ac:dyDescent="0.2">
      <c r="A5" s="7">
        <f ca="1">MAX($C$15:$C$119)</f>
        <v>2</v>
      </c>
      <c r="B5" s="7"/>
      <c r="C5" s="7"/>
      <c r="F5" s="88">
        <f ca="1">IF(BDI.Opcao="DESONERADO",BDI!$S$30,BDI!$S$29)</f>
        <v>0.23380000000000001</v>
      </c>
      <c r="G5" s="88">
        <f ca="1">IF(BDI.Opcao="DESONERADO",BDI!$S$70,BDI!$S$69)</f>
        <v>0.15</v>
      </c>
      <c r="H5" s="88">
        <f ca="1">IF(BDI.Opcao="DESONERADO",BDI!$S$110,BDI!$S$109)</f>
        <v>0</v>
      </c>
      <c r="O5" s="582">
        <f>Import.CR</f>
        <v>0</v>
      </c>
      <c r="P5" s="582"/>
      <c r="Q5" s="92" cm="1">
        <f t="array" ref="Q5">Import.TransfereGOV</f>
        <v>0</v>
      </c>
      <c r="R5" s="93" t="str">
        <f>Import.Proponente</f>
        <v>PREFEITURA MUNICIPAL</v>
      </c>
      <c r="S5" s="582" t="str">
        <f>Import.Apelido</f>
        <v>PAVIMENTAÇÃO ASFÁLTICA</v>
      </c>
      <c r="T5" s="582"/>
      <c r="U5" s="582"/>
      <c r="V5" s="582"/>
      <c r="W5" s="582"/>
      <c r="X5" s="582"/>
      <c r="Y5" s="94"/>
      <c r="Z5" s="94"/>
      <c r="AA5" s="94"/>
      <c r="AB5" s="94"/>
      <c r="AE5" s="621" t="s">
        <v>200</v>
      </c>
      <c r="AF5" s="621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585" t="s">
        <v>204</v>
      </c>
      <c r="P7" s="585"/>
      <c r="Q7" s="89" t="s">
        <v>205</v>
      </c>
      <c r="R7" s="89" t="str">
        <f>IF(TIPOORCAMENTO="Licitado","NOME DA EMPRESA","DESCRIÇÃO DO LOTE")</f>
        <v>DESCRIÇÃO DO LOTE</v>
      </c>
      <c r="S7" s="622" t="str">
        <f>IF(TIPOORCAMENTO="Licitado","REGIME DE EXECUÇÃO","MUNICÍPIO / UF")</f>
        <v>MUNICÍPIO / UF</v>
      </c>
      <c r="T7" s="622"/>
      <c r="U7" s="622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25" t="s">
        <v>207</v>
      </c>
      <c r="AL7" s="623" t="s">
        <v>208</v>
      </c>
    </row>
    <row r="8" spans="1:40" ht="12.75" customHeight="1" x14ac:dyDescent="0.2">
      <c r="A8" s="7"/>
      <c r="B8" s="7"/>
      <c r="C8" s="7"/>
      <c r="F8" s="619" t="str">
        <f ca="1">IF(LEN(INFO("release"))&gt;5,"'Referência "&amp;Excel_BuiltIn_Database&amp;".xlsm'#Banco.$a5:$a$65536","'[Referência "&amp;Excel_BuiltIn_Database&amp;".xlsm]Banco'!$a5:$a$65536")</f>
        <v>'[Referência 10-2025.xlsm]Banco'!$a5:$a$65536</v>
      </c>
      <c r="G8" s="619"/>
      <c r="H8" s="619"/>
      <c r="I8" s="619"/>
      <c r="J8" s="619"/>
      <c r="K8" s="619"/>
      <c r="L8" s="611" t="s">
        <v>209</v>
      </c>
      <c r="O8" s="582" t="str">
        <f ca="1">IF(ISERROR(INDIRECT($F$9)),"(N/D: 'Referência "&amp;Excel_BuiltIn_Database&amp;".xlsm)",INDIRECT($F$9))</f>
        <v>PORTO ALEGRE</v>
      </c>
      <c r="P8" s="582"/>
      <c r="Q8" s="101" t="str">
        <f ca="1">TEXT(Import.DataBase,"mm-aa")&amp;IF(DESONERACAO="Sim"," (DES.)"," (N DES.)")</f>
        <v>10-25 (N DES.)</v>
      </c>
      <c r="R8" s="93" t="str">
        <f>IF(TIPOORCAMENTO="Licitado",Import.empresa,Import.DescLote)</f>
        <v>DIVERSOS TRECHOS DA ÁREA URBANA</v>
      </c>
      <c r="S8" s="620" t="str">
        <f>IF(TIPOORCAMENTO="Licitado",Import.RegimeExecução,Import.Município)</f>
        <v>CÂNDIDO GODÓI</v>
      </c>
      <c r="T8" s="620"/>
      <c r="U8" s="620"/>
      <c r="V8" s="102" t="str">
        <f ca="1">IF(TIPOORCAMENTO="Licitado","",TEXT(F5,"0,00%"))</f>
        <v>23,38%</v>
      </c>
      <c r="W8" s="102" t="str">
        <f ca="1">IF(TIPOORCAMENTO="Licitado","",TEXT(G5,"0,00%"))</f>
        <v>15,00%</v>
      </c>
      <c r="X8" s="103" t="str">
        <f ca="1">IF(TIPOORCAMENTO="Licitado",Import.CTEF,TEXT(H5,"0,00%"))</f>
        <v>0,00%</v>
      </c>
      <c r="Y8" s="611" t="s">
        <v>210</v>
      </c>
      <c r="Z8" s="611" t="s">
        <v>211</v>
      </c>
      <c r="AA8" s="104"/>
      <c r="AB8" s="104"/>
      <c r="AE8" s="90" t="s">
        <v>206</v>
      </c>
      <c r="AF8" s="91" t="b">
        <v>1</v>
      </c>
      <c r="AJ8" s="625"/>
      <c r="AL8" s="623"/>
    </row>
    <row r="9" spans="1:40" ht="12.75" customHeight="1" x14ac:dyDescent="0.2">
      <c r="F9" s="619" t="str">
        <f ca="1">IF(LEN(INFO("release"))&gt;5,"'Referência "&amp;Excel_BuiltIn_Database&amp;".xlsm'#Banco.$d$3","'[Referência "&amp;Excel_BuiltIn_Database&amp;".xlsm]Banco'!$d$3")</f>
        <v>'[Referência 10-2025.xlsm]Banco'!$d$3</v>
      </c>
      <c r="G9" s="619"/>
      <c r="H9" s="619"/>
      <c r="I9" s="619"/>
      <c r="J9" s="619"/>
      <c r="K9" s="619"/>
      <c r="L9" s="611"/>
      <c r="Y9" s="611"/>
      <c r="Z9" s="611"/>
      <c r="AE9" s="90" t="s">
        <v>212</v>
      </c>
      <c r="AF9" s="91" t="b">
        <v>1</v>
      </c>
      <c r="AJ9" s="625"/>
      <c r="AL9" s="623"/>
    </row>
    <row r="10" spans="1:40" x14ac:dyDescent="0.2">
      <c r="G10" s="86"/>
      <c r="H10" s="86"/>
      <c r="L10" s="611"/>
      <c r="Y10" s="611"/>
      <c r="Z10" s="611"/>
      <c r="AC10" s="105" t="s">
        <v>214</v>
      </c>
      <c r="AE10" s="90" t="s">
        <v>213</v>
      </c>
      <c r="AF10" s="91" t="b">
        <v>1</v>
      </c>
      <c r="AJ10" s="625"/>
      <c r="AL10" s="623"/>
    </row>
    <row r="11" spans="1:40" x14ac:dyDescent="0.2">
      <c r="G11" s="86"/>
      <c r="H11" s="106"/>
      <c r="L11" s="611"/>
      <c r="Y11" s="611"/>
      <c r="Z11" s="611"/>
      <c r="AC11" s="107" t="str">
        <f ca="1">IF(COUNTIF($AC$15:OFFSET($AC$119,-1,0),"DESCRIÇÃO")+COUNTIF($AC$15:OFFSET($AC$119,-1,0),"UNIDADE")+COUNTIF($AC$15:OFFSET($AC$119,-1,0),"SEM VALOR")&gt;0,"NÃO OK","OK")</f>
        <v>OK</v>
      </c>
      <c r="AE11" s="90" t="s">
        <v>215</v>
      </c>
      <c r="AF11" s="91" t="b">
        <v>1</v>
      </c>
      <c r="AJ11" s="625"/>
      <c r="AL11" s="623"/>
    </row>
    <row r="12" spans="1:40" x14ac:dyDescent="0.2">
      <c r="G12" s="86"/>
      <c r="H12" s="86"/>
      <c r="L12" s="611"/>
      <c r="Y12" s="611"/>
      <c r="Z12" s="611"/>
      <c r="AA12" s="624" t="s">
        <v>216</v>
      </c>
      <c r="AB12" s="624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 (%)")</f>
        <v>BDI 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418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414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IF(OR($C14="S",$C14=0),0,MATCH(0,OFFSET($D14,1,$C14,ROW($C$119)-ROW($C14)),0))</f>
        <v>0</v>
      </c>
      <c r="K14">
        <f ca="1">IF(OR($C14="S",$C14=0),0,MATCH(OFFSET($D14,0,$C14)+IF($C14&lt;&gt;1,1,COUNTIF(QCI!$A$13:$A$24,ORÇAMENTO!E14)),OFFSET($D14,1,$C14,ROW($C$119)-ROW($C14)),0))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(Sem Código)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(Sem Código)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0.23380000000000001</v>
      </c>
      <c r="AJ14" s="501"/>
      <c r="AL14" s="527"/>
      <c r="AM14" s="381">
        <f t="shared" ref="AM14:AM95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COUNTA(OFFSET(D15,1,0):D$119)</f>
        <v>103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13" t="str">
        <f>Import.DescLote</f>
        <v>DIVERSOS TRECHOS DA ÁREA URBANA</v>
      </c>
      <c r="P15" s="613"/>
      <c r="Q15" s="613"/>
      <c r="R15" s="613"/>
      <c r="S15" s="133"/>
      <c r="T15" s="134"/>
      <c r="U15" s="134"/>
      <c r="V15" s="135"/>
      <c r="W15" s="134"/>
      <c r="X15" s="136">
        <f ca="1">SUMIF(OFFSET($C15,1,0,ROW(X119)-ROW(X15)-1),"S",OFFSET(X15,1,0,ROW(X119)-ROW(X15)-1))</f>
        <v>1436876.3199999996</v>
      </c>
      <c r="Y15" s="7"/>
      <c r="Z15" t="str">
        <f ca="1">IF(AND($C15="S",$X15&gt;0),LEFT($Y15,2),"")</f>
        <v/>
      </c>
      <c r="AA15" s="496">
        <f ca="1">SUMIF(OFFSET($C15,1,0,ROW(AA119)-ROW(AA15)-1),"S",OFFSET(AA15,1,0,ROW(AA119)-ROW(AA15)-1))</f>
        <v>1436876.3199999996</v>
      </c>
      <c r="AB15" s="137">
        <f ca="1">SUMIF(OFFSET($C15,1,0,ROW(AB119)-ROW(AB15)-1),"S",OFFSET(AB15,1,0,ROW(AB119)-ROW(AB15)-1))</f>
        <v>0</v>
      </c>
      <c r="AC15" s="131"/>
      <c r="AG15" s="529"/>
      <c r="AH15" s="530"/>
      <c r="AJ15" s="500"/>
      <c r="AL15" s="528"/>
      <c r="AM15" s="567">
        <f t="shared" ca="1" si="0"/>
        <v>1436876.3199999996</v>
      </c>
      <c r="AN15" s="568"/>
    </row>
    <row r="16" spans="1:40" x14ac:dyDescent="0.2">
      <c r="A16">
        <f>CHOOSE(1+LOG(1+2*(ORÇAMENTO.Nivel="Meta")+4*(ORÇAMENTO.Nivel="Nível 2")+8*(ORÇAMENTO.Nivel="Nível 3")+16*(ORÇAMENTO.Nivel="Nível 4")+32*(ORÇAMENTO.Nivel="Serviço"),2),0,1,2,3,4,"S")</f>
        <v>1</v>
      </c>
      <c r="B16">
        <f ca="1">IF(OR(C16="s",C16=0),OFFSET(B16,-1,0),C16)</f>
        <v>1</v>
      </c>
      <c r="C16">
        <f ca="1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ca="1">IF(OR(C16="S",C16=0),0,IF(ISERROR(K16),J16,SMALL(J16:K16,1)))</f>
        <v>39</v>
      </c>
      <c r="E16">
        <f ca="1">IF($C16=1,OFFSET(E16,-1,0)+MAX(1,COUNTIF(QCI!$A$13:$A$24,OFFSET(ORÇAMENTO!E16,-1,0))),OFFSET(E16,-1,0))</f>
        <v>1</v>
      </c>
      <c r="F16">
        <f ca="1">IF($C16=1,0,IF($C16=2,OFFSET(F16,-1,0)+1,OFFSET(F16,-1,0)))</f>
        <v>0</v>
      </c>
      <c r="G16">
        <f ca="1">IF(AND($C16&lt;=2,$C16&lt;&gt;0),0,IF($C16=3,OFFSET(G16,-1,0)+1,OFFSET(G16,-1,0)))</f>
        <v>0</v>
      </c>
      <c r="H16">
        <f ca="1">IF(AND($C16&lt;=3,$C16&lt;&gt;0),0,IF($C16=4,OFFSET(H16,-1,0)+1,OFFSET(H16,-1,0)))</f>
        <v>0</v>
      </c>
      <c r="I16">
        <f ca="1">IF(AND($C16&lt;=4,$C16&lt;&gt;0),0,IF(AND($C16="S",$X16&gt;0),OFFSET(I16,-1,0)+1,OFFSET(I16,-1,0)))</f>
        <v>0</v>
      </c>
      <c r="J16">
        <f ca="1">IF(OR($C16="S",$C16=0),0,MATCH(0,OFFSET($D16,1,$C16,ROW($C$119)-ROW($C16)),0))</f>
        <v>103</v>
      </c>
      <c r="K16">
        <f ca="1">IF(OR($C16="S",$C16=0),0,MATCH(OFFSET($D16,0,$C16)+IF($C16&lt;&gt;1,1,COUNTIF(QCI!$A$13:$A$24,ORÇAMENTO!E16)),OFFSET($D16,1,$C16,ROW($C$119)-ROW($C16)),0))</f>
        <v>39</v>
      </c>
      <c r="L16" s="116" t="str">
        <f ca="1">IF(OR($X16&gt;0,$C16=1,$C16=2,$C16=3,$C16=4),"F","")</f>
        <v>F</v>
      </c>
      <c r="M16" s="117" t="s">
        <v>195</v>
      </c>
      <c r="N16" s="118" t="str">
        <f ca="1">CHOOSE(1+LOG(1+2*(C16=1)+4*(C16=2)+8*(C16=3)+16*(C16=4)+32*(C16="S"),2),"","Meta","Nível 2","Nível 3","Nível 4","Serviço")</f>
        <v>Meta</v>
      </c>
      <c r="O16" s="119" t="str">
        <f ca="1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471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570193.64</v>
      </c>
      <c r="Y16" s="128" t="s">
        <v>245</v>
      </c>
      <c r="Z16" t="str">
        <f ca="1">IF(AND($C16="S",$X16&gt;0),IF(ISBLANK($Y16),"RA",LEFT($Y16,2)),"")</f>
        <v/>
      </c>
      <c r="AA16" s="129">
        <f ca="1">IF($C16="S",IF($Z16="CP",$X16,IF($Z16="RA",(($X16)*QCI!$AA$3),0)),SomaAgrup)</f>
        <v>570193.64</v>
      </c>
      <c r="AB16" s="130">
        <f ca="1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(Sem Código)</v>
      </c>
      <c r="AG16" s="498">
        <f ca="1">ROUND(IF(DESONERACAO="sim",REFERENCIA.Desonerado,REFERENCIA.NaoDesonerado),2)</f>
        <v>0</v>
      </c>
      <c r="AH16" s="499">
        <f ca="1">ROUND(IF(ISNUMBER(ORÇAMENTO.OpcaoBDI),ORÇAMENTO.OpcaoBDI,IF(LEFT(ORÇAMENTO.OpcaoBDI,3)="BDI",HLOOKUP(ORÇAMENTO.OpcaoBDI,$F$4:$H$5,2,FALSE),0)),15-11*$AF$9)</f>
        <v>0.23380000000000001</v>
      </c>
      <c r="AJ16" s="501"/>
      <c r="AL16" s="527"/>
      <c r="AM16" s="381">
        <f t="shared" ca="1" si="0"/>
        <v>570193.64</v>
      </c>
      <c r="AN16" s="566">
        <f ca="1">ROUND(ORÇAMENTO.CustoUnitario*(1+$AH16),2)</f>
        <v>0</v>
      </c>
    </row>
    <row r="17" spans="1:40" x14ac:dyDescent="0.2">
      <c r="A17">
        <f t="shared" ref="A17:A97" si="1">CHOOSE(1+LOG(1+2*(ORÇAMENTO.Nivel="Meta")+4*(ORÇAMENTO.Nivel="Nível 2")+8*(ORÇAMENTO.Nivel="Nível 3")+16*(ORÇAMENTO.Nivel="Nível 4")+32*(ORÇAMENTO.Nivel="Serviço"),2),0,1,2,3,4,"S")</f>
        <v>2</v>
      </c>
      <c r="B17">
        <f t="shared" ref="B17:B97" ca="1" si="2">IF(OR(C17="s",C17=0),OFFSET(B17,-1,0),C17)</f>
        <v>2</v>
      </c>
      <c r="C17">
        <f t="shared" ref="C17:C97" ca="1" si="3">IF(OFFSET(C17,-1,0)="L",1,IF(OFFSET(C17,-1,0)=1,2,IF(OR(A17="s",A17=0),"S",IF(AND(OFFSET(C17,-1,0)=2,A17=4),3,IF(AND(OR(OFFSET(C17,-1,0)="s",OFFSET(C17,-1,0)=0),A17&lt;&gt;"s",A17&gt;OFFSET(B17,-1,0)),OFFSET(B17,-1,0),A17)))))</f>
        <v>2</v>
      </c>
      <c r="D17">
        <f t="shared" ref="D17:D97" ca="1" si="4">IF(OR(C17="S",C17=0),0,IF(ISERROR(K17),J17,SMALL(J17:K17,1)))</f>
        <v>4</v>
      </c>
      <c r="E17">
        <f ca="1">IF($C17=1,OFFSET(E17,-1,0)+MAX(1,COUNTIF(QCI!$A$13:$A$24,OFFSET(ORÇAMENTO!E17,-1,0))),OFFSET(E17,-1,0))</f>
        <v>1</v>
      </c>
      <c r="F17">
        <f t="shared" ref="F17:F97" ca="1" si="5">IF($C17=1,0,IF($C17=2,OFFSET(F17,-1,0)+1,OFFSET(F17,-1,0)))</f>
        <v>1</v>
      </c>
      <c r="G17">
        <f t="shared" ref="G17:G97" ca="1" si="6">IF(AND($C17&lt;=2,$C17&lt;&gt;0),0,IF($C17=3,OFFSET(G17,-1,0)+1,OFFSET(G17,-1,0)))</f>
        <v>0</v>
      </c>
      <c r="H17">
        <f t="shared" ref="H17:H97" ca="1" si="7">IF(AND($C17&lt;=3,$C17&lt;&gt;0),0,IF($C17=4,OFFSET(H17,-1,0)+1,OFFSET(H17,-1,0)))</f>
        <v>0</v>
      </c>
      <c r="I17">
        <f t="shared" ref="I17:I97" ca="1" si="8">IF(AND($C17&lt;=4,$C17&lt;&gt;0),0,IF(AND($C17="S",$X17&gt;0),OFFSET(I17,-1,0)+1,OFFSET(I17,-1,0)))</f>
        <v>0</v>
      </c>
      <c r="J17">
        <f ca="1">IF(OR($C17="S",$C17=0),0,MATCH(0,OFFSET($D17,1,$C17,ROW($C$119)-ROW($C17)),0))</f>
        <v>38</v>
      </c>
      <c r="K17">
        <f ca="1">IF(OR($C17="S",$C17=0),0,MATCH(OFFSET($D17,0,$C17)+IF($C17&lt;&gt;1,1,COUNTIF(QCI!$A$13:$A$24,ORÇAMENTO!E17)),OFFSET($D17,1,$C17,ROW($C$119)-ROW($C17)),0))</f>
        <v>4</v>
      </c>
      <c r="L17" s="116" t="str">
        <f t="shared" ref="L17:L97" ca="1" si="9">IF(OR($X17&gt;0,$C17=1,$C17=2,$C17=3,$C17=4),"F","")</f>
        <v>F</v>
      </c>
      <c r="M17" s="117" t="s">
        <v>196</v>
      </c>
      <c r="N17" s="118" t="str">
        <f t="shared" ref="N17:N97" ca="1" si="10">CHOOSE(1+LOG(1+2*(C17=1)+4*(C17=2)+8*(C17=3)+16*(C17=4)+32*(C17="S"),2),"","Meta","Nível 2","Nível 3","Nível 4","Serviço")</f>
        <v>Nível 2</v>
      </c>
      <c r="O17" s="119" t="str">
        <f t="shared" ref="O17:O97" ca="1" si="11">IF(OR($C17=0,$L17=""),"-",CONCATENATE(E17&amp;".",IF(AND($A$5&gt;=2,$C17&gt;=2),F17&amp;".",""),IF(AND($A$5&gt;=3,$C17&gt;=3),G17&amp;".",""),IF(AND($A$5&gt;=4,$C17&gt;=4),H17&amp;".",""),IF($C17="S",I17&amp;".","")))</f>
        <v>1.1.</v>
      </c>
      <c r="P17" s="120" t="s">
        <v>247</v>
      </c>
      <c r="Q17" s="121"/>
      <c r="R17" s="122" t="s">
        <v>465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8049.5</v>
      </c>
      <c r="Y17" s="128" t="s">
        <v>245</v>
      </c>
      <c r="Z17" t="str">
        <f t="shared" ref="Z17:Z97" ca="1" si="12">IF(AND($C17="S",$X17&gt;0),IF(ISBLANK($Y17),"RA",LEFT($Y17,2)),"")</f>
        <v/>
      </c>
      <c r="AA17" s="129">
        <f ca="1">IF($C17="S",IF($Z17="CP",$X17,IF($Z17="RA",(($X17)*QCI!$AA$3),0)),SomaAgrup)</f>
        <v>8049.5</v>
      </c>
      <c r="AB17" s="130">
        <f t="shared" ref="AB17:AB97" ca="1" si="13">IF($C17="S",IF($Z17="OU",ROUND($X17,2),0),SomaAgrup)</f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(Sem Código)</v>
      </c>
      <c r="AG17" s="498">
        <f ca="1">ROUND(IF(DESONERACAO="sim",REFERENCIA.Desonerado,REFERENCIA.NaoDesonerado),2)</f>
        <v>0</v>
      </c>
      <c r="AH17" s="499">
        <f t="shared" ref="AH17:AH97" ca="1" si="14">ROUND(IF(ISNUMBER(ORÇAMENTO.OpcaoBDI),ORÇAMENTO.OpcaoBDI,IF(LEFT(ORÇAMENTO.OpcaoBDI,3)="BDI",HLOOKUP(ORÇAMENTO.OpcaoBDI,$F$4:$H$5,2,FALSE),0)),15-11*$AF$9)</f>
        <v>0.23380000000000001</v>
      </c>
      <c r="AJ17" s="501"/>
      <c r="AL17" s="527"/>
      <c r="AM17" s="381">
        <f t="shared" ca="1" si="0"/>
        <v>8049.5</v>
      </c>
      <c r="AN17" s="566">
        <f t="shared" ref="AN17:AN97" ca="1" si="15">ROUND(ORÇAMENTO.CustoUnitario*(1+$AH17),2)</f>
        <v>0</v>
      </c>
    </row>
    <row r="18" spans="1:40" ht="25.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ca="1">IF(OR($C18="S",$C18=0),0,MATCH(0,OFFSET($D18,1,$C18,ROW($C$119)-ROW($C18)),0))</f>
        <v>0</v>
      </c>
      <c r="K18">
        <f ca="1">IF(OR($C18="S",$C18=0),0,MATCH(OFFSET($D18,0,$C18)+IF($C18&lt;&gt;1,1,COUNTIF(QCI!$A$13:$A$24,ORÇAMENTO!E18)),OFFSET($D18,1,$C18,ROW($C$119)-ROW($C18)),0))</f>
        <v>0</v>
      </c>
      <c r="L18" s="116" t="str">
        <f t="shared" ca="1" si="9"/>
        <v>F</v>
      </c>
      <c r="M18" s="117" t="s">
        <v>199</v>
      </c>
      <c r="N18" s="118" t="str">
        <f t="shared" ca="1" si="10"/>
        <v>Serviço</v>
      </c>
      <c r="O18" s="119" t="str">
        <f t="shared" ca="1" si="11"/>
        <v>1.1.1.</v>
      </c>
      <c r="P18" s="120" t="s">
        <v>474</v>
      </c>
      <c r="Q18" s="121" t="s">
        <v>475</v>
      </c>
      <c r="R18" s="122" t="str">
        <f ca="1">IF($C18="S",REFERENCIA.Descricao,"(digite a descrição aqui)")</f>
        <v>Placa em aço - 3,00 x 1,50 m - película retrorrefletiva tipo I + I - fornecimento e implantação</v>
      </c>
      <c r="S18" s="123" t="str">
        <f ca="1">REFERENCIA.Unidade</f>
        <v>un</v>
      </c>
      <c r="T18" s="124">
        <v>1</v>
      </c>
      <c r="U18" s="125">
        <f ca="1">AG18</f>
        <v>1898.36</v>
      </c>
      <c r="V18" s="126" t="s">
        <v>156</v>
      </c>
      <c r="W18" s="124">
        <f ca="1">IF($C18="S",ROUND(IF(TIPOORCAMENTO="Proposto",ORÇAMENTO.CustoUnitario*(1+$AH18),ORÇAMENTO.PrecoUnitarioLicitado),15-13*$AF$10),0)</f>
        <v>2342.1999999999998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2342.1999999999998</v>
      </c>
      <c r="Y18" s="128" t="s">
        <v>245</v>
      </c>
      <c r="Z18" t="str">
        <f t="shared" ca="1" si="12"/>
        <v>RA</v>
      </c>
      <c r="AA18" s="129">
        <f ca="1">IF($C18="S",IF($Z18="CP",$X18,IF($Z18="RA",(($X18)*QCI!$AA$3),0)),SomaAgrup)</f>
        <v>2342.1999999999998</v>
      </c>
      <c r="AB18" s="130">
        <f t="shared" ca="1" si="13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SICRO 5213490</v>
      </c>
      <c r="AF18" s="13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21062</v>
      </c>
      <c r="AG18" s="498">
        <f ca="1">ROUND(IF(DESONERACAO="sim",REFERENCIA.Desonerado,REFERENCIA.NaoDesonerado),2)</f>
        <v>1898.36</v>
      </c>
      <c r="AH18" s="499">
        <f t="shared" ca="1" si="14"/>
        <v>0.23380000000000001</v>
      </c>
      <c r="AJ18" s="501">
        <v>1</v>
      </c>
      <c r="AL18" s="527"/>
      <c r="AM18" s="381">
        <f t="shared" ca="1" si="0"/>
        <v>2342.1999999999998</v>
      </c>
      <c r="AN18" s="566">
        <f t="shared" ca="1" si="15"/>
        <v>2342.1999999999998</v>
      </c>
    </row>
    <row r="19" spans="1:40" ht="25.5" x14ac:dyDescent="0.2">
      <c r="A19" t="str">
        <f>CHOOSE(1+LOG(1+2*(ORÇAMENTO.Nivel="Meta")+4*(ORÇAMENTO.Nivel="Nível 2")+8*(ORÇAMENTO.Nivel="Nível 3")+16*(ORÇAMENTO.Nivel="Nível 4")+32*(ORÇAMENTO.Nivel="Serviço"),2),0,1,2,3,4,"S")</f>
        <v>S</v>
      </c>
      <c r="B19">
        <f ca="1">IF(OR(C19="s",C19=0),OFFSET(B19,-1,0),C19)</f>
        <v>2</v>
      </c>
      <c r="C19" t="str">
        <f ca="1">IF(OFFSET(C19,-1,0)="L",1,IF(OFFSET(C19,-1,0)=1,2,IF(OR(A19="s",A19=0),"S",IF(AND(OFFSET(C19,-1,0)=2,A19=4),3,IF(AND(OR(OFFSET(C19,-1,0)="s",OFFSET(C19,-1,0)=0),A19&lt;&gt;"s",A19&gt;OFFSET(B19,-1,0)),OFFSET(B19,-1,0),A19)))))</f>
        <v>S</v>
      </c>
      <c r="D19">
        <f ca="1">IF(OR(C19="S",C19=0),0,IF(ISERROR(K19),J19,SMALL(J19:K19,1)))</f>
        <v>0</v>
      </c>
      <c r="E19">
        <f ca="1">IF($C19=1,OFFSET(E19,-1,0)+MAX(1,COUNTIF(QCI!$A$13:$A$24,OFFSET(ORÇAMENTO!E19,-1,0))),OFFSET(E19,-1,0))</f>
        <v>1</v>
      </c>
      <c r="F19">
        <f ca="1">IF($C19=1,0,IF($C19=2,OFFSET(F19,-1,0)+1,OFFSET(F19,-1,0)))</f>
        <v>1</v>
      </c>
      <c r="G19">
        <f ca="1">IF(AND($C19&lt;=2,$C19&lt;&gt;0),0,IF($C19=3,OFFSET(G19,-1,0)+1,OFFSET(G19,-1,0)))</f>
        <v>0</v>
      </c>
      <c r="H19">
        <f ca="1">IF(AND($C19&lt;=3,$C19&lt;&gt;0),0,IF($C19=4,OFFSET(H19,-1,0)+1,OFFSET(H19,-1,0)))</f>
        <v>0</v>
      </c>
      <c r="I19">
        <f ca="1">IF(AND($C19&lt;=4,$C19&lt;&gt;0),0,IF(AND($C19="S",$X19&gt;0),OFFSET(I19,-1,0)+1,OFFSET(I19,-1,0)))</f>
        <v>2</v>
      </c>
      <c r="J19">
        <f ca="1">IF(OR($C19="S",$C19=0),0,MATCH(0,OFFSET($D19,1,$C19,ROW($C$119)-ROW($C19)),0))</f>
        <v>0</v>
      </c>
      <c r="K19">
        <f ca="1">IF(OR($C19="S",$C19=0),0,MATCH(OFFSET($D19,0,$C19)+IF($C19&lt;&gt;1,1,COUNTIF(QCI!$A$13:$A$24,ORÇAMENTO!E19)),OFFSET($D19,1,$C19,ROW($C$119)-ROW($C19)),0))</f>
        <v>0</v>
      </c>
      <c r="L19" s="116" t="str">
        <f ca="1">IF(OR($X19&gt;0,$C19=1,$C19=2,$C19=3,$C19=4),"F","")</f>
        <v>F</v>
      </c>
      <c r="M19" s="117" t="s">
        <v>199</v>
      </c>
      <c r="N19" s="118" t="str">
        <f ca="1">CHOOSE(1+LOG(1+2*(C19=1)+4*(C19=2)+8*(C19=3)+16*(C19=4)+32*(C19="S"),2),"","Meta","Nível 2","Nível 3","Nível 4","Serviço")</f>
        <v>Serviço</v>
      </c>
      <c r="O19" s="119" t="str">
        <f ca="1">IF(OR($C19=0,$L19=""),"-",CONCATENATE(E19&amp;".",IF(AND($A$5&gt;=2,$C19&gt;=2),F19&amp;".",""),IF(AND($A$5&gt;=3,$C19&gt;=3),G19&amp;".",""),IF(AND($A$5&gt;=4,$C19&gt;=4),H19&amp;".",""),IF($C19="S",I19&amp;".","")))</f>
        <v>1.1.2.</v>
      </c>
      <c r="P19" s="120" t="s">
        <v>474</v>
      </c>
      <c r="Q19" s="121" t="s">
        <v>476</v>
      </c>
      <c r="R19" s="122" t="str">
        <f ca="1">IF($C19="S",REFERENCIA.Descricao,"(digite a descrição aqui)")</f>
        <v>Suporte para placa de sinalização em madeira de lei tratada 8 x 8 cm - fornecimento e implantação</v>
      </c>
      <c r="S19" s="123" t="str">
        <f ca="1">REFERENCIA.Unidade</f>
        <v>un</v>
      </c>
      <c r="T19" s="124">
        <f ca="1">OFFSET(CÁLCULO!H$15,ROW($T19)-ROW(T$15),0)</f>
        <v>1</v>
      </c>
      <c r="U19" s="125">
        <f ca="1">AG19</f>
        <v>135.99</v>
      </c>
      <c r="V19" s="126" t="s">
        <v>156</v>
      </c>
      <c r="W19" s="124">
        <f ca="1">IF($C19="S",ROUND(IF(TIPOORCAMENTO="Proposto",ORÇAMENTO.CustoUnitario*(1+$AH19),ORÇAMENTO.PrecoUnitarioLicitado),15-13*$AF$10),0)</f>
        <v>167.78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167.78</v>
      </c>
      <c r="Y19" s="128" t="s">
        <v>245</v>
      </c>
      <c r="Z19" t="str">
        <f ca="1">IF(AND($C19="S",$X19&gt;0),IF(ISBLANK($Y19),"RA",LEFT($Y19,2)),"")</f>
        <v>RA</v>
      </c>
      <c r="AA19" s="129">
        <f ca="1">IF($C19="S",IF($Z19="CP",$X19,IF($Z19="RA",(($X19)*QCI!$AA$3),0)),SomaAgrup)</f>
        <v>167.78</v>
      </c>
      <c r="AB19" s="130">
        <f ca="1">IF($C19="S",IF($Z19="OU",ROUND($X19,2),0),SomaAgrup)</f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SICRO 5216111</v>
      </c>
      <c r="AF19" s="13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21212</v>
      </c>
      <c r="AG19" s="498">
        <f ca="1">ROUND(IF(DESONERACAO="sim",REFERENCIA.Desonerado,REFERENCIA.NaoDesonerado),2)</f>
        <v>135.99</v>
      </c>
      <c r="AH19" s="499">
        <f ca="1">ROUND(IF(ISNUMBER(ORÇAMENTO.OpcaoBDI),ORÇAMENTO.OpcaoBDI,IF(LEFT(ORÇAMENTO.OpcaoBDI,3)="BDI",HLOOKUP(ORÇAMENTO.OpcaoBDI,$F$4:$H$5,2,FALSE),0)),15-11*$AF$9)</f>
        <v>0.23380000000000001</v>
      </c>
      <c r="AJ19" s="501">
        <v>1</v>
      </c>
      <c r="AL19" s="527"/>
      <c r="AM19" s="381">
        <f t="shared" ca="1" si="0"/>
        <v>167.78</v>
      </c>
      <c r="AN19" s="566">
        <f ca="1">ROUND(ORÇAMENTO.CustoUnitario*(1+$AH19),2)</f>
        <v>167.78</v>
      </c>
    </row>
    <row r="20" spans="1:40" x14ac:dyDescent="0.2">
      <c r="A20" t="str">
        <f t="shared" ref="A20:A25" si="16">CHOOSE(1+LOG(1+2*(ORÇAMENTO.Nivel="Meta")+4*(ORÇAMENTO.Nivel="Nível 2")+8*(ORÇAMENTO.Nivel="Nível 3")+16*(ORÇAMENTO.Nivel="Nível 4")+32*(ORÇAMENTO.Nivel="Serviço"),2),0,1,2,3,4,"S")</f>
        <v>S</v>
      </c>
      <c r="B20">
        <f ca="1">IF(OR(C20="s",C20=0),OFFSET(B20,-1,0),C20)</f>
        <v>2</v>
      </c>
      <c r="C20" t="str">
        <f ca="1">IF(OFFSET(C20,-1,0)="L",1,IF(OFFSET(C20,-1,0)=1,2,IF(OR(A20="s",A20=0),"S",IF(AND(OFFSET(C20,-1,0)=2,A20=4),3,IF(AND(OR(OFFSET(C20,-1,0)="s",OFFSET(C20,-1,0)=0),A20&lt;&gt;"s",A20&gt;OFFSET(B20,-1,0)),OFFSET(B20,-1,0),A20)))))</f>
        <v>S</v>
      </c>
      <c r="D20">
        <f ca="1">IF(OR(C20="S",C20=0),0,IF(ISERROR(K20),J20,SMALL(J20:K20,1)))</f>
        <v>0</v>
      </c>
      <c r="E20">
        <f ca="1">IF($C20=1,OFFSET(E20,-1,0)+MAX(1,COUNTIF(QCI!$A$13:$A$24,OFFSET(ORÇAMENTO!E20,-1,0))),OFFSET(E20,-1,0))</f>
        <v>1</v>
      </c>
      <c r="F20">
        <f ca="1">IF($C20=1,0,IF($C20=2,OFFSET(F20,-1,0)+1,OFFSET(F20,-1,0)))</f>
        <v>1</v>
      </c>
      <c r="G20">
        <f ca="1">IF(AND($C20&lt;=2,$C20&lt;&gt;0),0,IF($C20=3,OFFSET(G20,-1,0)+1,OFFSET(G20,-1,0)))</f>
        <v>0</v>
      </c>
      <c r="H20">
        <f ca="1">IF(AND($C20&lt;=3,$C20&lt;&gt;0),0,IF($C20=4,OFFSET(H20,-1,0)+1,OFFSET(H20,-1,0)))</f>
        <v>0</v>
      </c>
      <c r="I20">
        <f ca="1">IF(AND($C20&lt;=4,$C20&lt;&gt;0),0,IF(AND($C20="S",$X20&gt;0),OFFSET(I20,-1,0)+1,OFFSET(I20,-1,0)))</f>
        <v>3</v>
      </c>
      <c r="J20">
        <f ca="1">IF(OR($C20="S",$C20=0),0,MATCH(0,OFFSET($D20,1,$C20,ROW($C$119)-ROW($C20)),0))</f>
        <v>0</v>
      </c>
      <c r="K20">
        <f ca="1">IF(OR($C20="S",$C20=0),0,MATCH(OFFSET($D20,0,$C20)+IF($C20&lt;&gt;1,1,COUNTIF(QCI!$A$13:$A$24,ORÇAMENTO!E20)),OFFSET($D20,1,$C20,ROW($C$119)-ROW($C20)),0))</f>
        <v>0</v>
      </c>
      <c r="L20" s="116" t="str">
        <f ca="1">IF(OR($X20&gt;0,$C20=1,$C20=2,$C20=3,$C20=4),"F","")</f>
        <v>F</v>
      </c>
      <c r="M20" s="117" t="s">
        <v>199</v>
      </c>
      <c r="N20" s="118" t="str">
        <f ca="1">CHOOSE(1+LOG(1+2*(C20=1)+4*(C20=2)+8*(C20=3)+16*(C20=4)+32*(C20="S"),2),"","Meta","Nível 2","Nível 3","Nível 4","Serviço")</f>
        <v>Serviço</v>
      </c>
      <c r="O20" s="119" t="str">
        <f ca="1">IF(OR($C20=0,$L20=""),"-",CONCATENATE(E20&amp;".",IF(AND($A$5&gt;=2,$C20&gt;=2),F20&amp;".",""),IF(AND($A$5&gt;=3,$C20&gt;=3),G20&amp;".",""),IF(AND($A$5&gt;=4,$C20&gt;=4),H20&amp;".",""),IF($C20="S",I20&amp;".","")))</f>
        <v>1.1.3.</v>
      </c>
      <c r="P20" s="120" t="s">
        <v>450</v>
      </c>
      <c r="Q20" s="121" t="s">
        <v>496</v>
      </c>
      <c r="R20" s="122" t="str">
        <f ca="1">IF($C20="S",REFERENCIA.Descricao,"(digite a descrição aqui)")</f>
        <v xml:space="preserve">MOBILIZAÇÃO E DESMOBILIZAÇÃO </v>
      </c>
      <c r="S20" s="123" t="str">
        <f ca="1">REFERENCIA.Unidade</f>
        <v>UNID.</v>
      </c>
      <c r="T20" s="124">
        <f ca="1">OFFSET(CÁLCULO!H$15,ROW($T20)-ROW(T$15),0)</f>
        <v>1</v>
      </c>
      <c r="U20" s="125">
        <f t="shared" ref="U20:U101" ca="1" si="17">AG20</f>
        <v>4489.8</v>
      </c>
      <c r="V20" s="126" t="s">
        <v>156</v>
      </c>
      <c r="W20" s="124">
        <f ca="1">IF($C20="S",ROUND(IF(TIPOORCAMENTO="Proposto",ORÇAMENTO.CustoUnitario*(1+$AH20),ORÇAMENTO.PrecoUnitarioLicitado),15-13*$AF$10),0)</f>
        <v>5539.52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5539.52</v>
      </c>
      <c r="Y20" s="128" t="s">
        <v>245</v>
      </c>
      <c r="Z20" t="str">
        <f ca="1">IF(AND($C20="S",$X20&gt;0),IF(ISBLANK($Y20),"RA",LEFT($Y20,2)),"")</f>
        <v>RA</v>
      </c>
      <c r="AA20" s="129">
        <f ca="1">IF($C20="S",IF($Z20="CP",$X20,IF($Z20="RA",(($X20)*QCI!$AA$3),0)),SomaAgrup)</f>
        <v>5539.52</v>
      </c>
      <c r="AB20" s="130">
        <f t="shared" ref="AB20:AB25" ca="1" si="18">IF($C20="S",IF($Z20="OU",ROUND($X20,2),0),SomaAgrup)</f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Composição 5</v>
      </c>
      <c r="AF20" s="13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7</v>
      </c>
      <c r="AG20" s="498">
        <f ca="1">ROUND(IF(DESONERACAO="sim",REFERENCIA.Desonerado,REFERENCIA.NaoDesonerado),2)</f>
        <v>4489.8</v>
      </c>
      <c r="AH20" s="499">
        <f t="shared" ref="AH20:AH25" ca="1" si="19">ROUND(IF(ISNUMBER(ORÇAMENTO.OpcaoBDI),ORÇAMENTO.OpcaoBDI,IF(LEFT(ORÇAMENTO.OpcaoBDI,3)="BDI",HLOOKUP(ORÇAMENTO.OpcaoBDI,$F$4:$H$5,2,FALSE),0)),15-11*$AF$9)</f>
        <v>0.23380000000000001</v>
      </c>
      <c r="AJ20" s="501">
        <v>1</v>
      </c>
      <c r="AL20" s="527"/>
      <c r="AM20" s="381">
        <f t="shared" ca="1" si="0"/>
        <v>5539.52</v>
      </c>
      <c r="AN20" s="566">
        <f t="shared" ref="AN20:AN25" ca="1" si="20">ROUND(ORÇAMENTO.CustoUnitario*(1+$AH20),2)</f>
        <v>5539.52</v>
      </c>
    </row>
    <row r="21" spans="1:40" x14ac:dyDescent="0.2">
      <c r="A21">
        <f t="shared" si="16"/>
        <v>2</v>
      </c>
      <c r="B21">
        <f t="shared" ref="B21:B24" ca="1" si="21">IF(OR(C21="s",C21=0),OFFSET(B21,-1,0),C21)</f>
        <v>2</v>
      </c>
      <c r="C21">
        <f t="shared" ref="C21:C24" ca="1" si="22">IF(OFFSET(C21,-1,0)="L",1,IF(OFFSET(C21,-1,0)=1,2,IF(OR(A21="s",A21=0),"S",IF(AND(OFFSET(C21,-1,0)=2,A21=4),3,IF(AND(OR(OFFSET(C21,-1,0)="s",OFFSET(C21,-1,0)=0),A21&lt;&gt;"s",A21&gt;OFFSET(B21,-1,0)),OFFSET(B21,-1,0),A21)))))</f>
        <v>2</v>
      </c>
      <c r="D21">
        <f t="shared" ref="D21:D24" ca="1" si="23">IF(OR(C21="S",C21=0),0,IF(ISERROR(K21),J21,SMALL(J21:K21,1)))</f>
        <v>4</v>
      </c>
      <c r="E21">
        <f ca="1">IF($C21=1,OFFSET(E21,-1,0)+MAX(1,COUNTIF(QCI!$A$13:$A$24,OFFSET(ORÇAMENTO!E21,-1,0))),OFFSET(E21,-1,0))</f>
        <v>1</v>
      </c>
      <c r="F21">
        <f t="shared" ref="F21:F24" ca="1" si="24">IF($C21=1,0,IF($C21=2,OFFSET(F21,-1,0)+1,OFFSET(F21,-1,0)))</f>
        <v>2</v>
      </c>
      <c r="G21">
        <f t="shared" ref="G21:G24" ca="1" si="25">IF(AND($C21&lt;=2,$C21&lt;&gt;0),0,IF($C21=3,OFFSET(G21,-1,0)+1,OFFSET(G21,-1,0)))</f>
        <v>0</v>
      </c>
      <c r="H21">
        <f t="shared" ref="H21:H24" ca="1" si="26">IF(AND($C21&lt;=3,$C21&lt;&gt;0),0,IF($C21=4,OFFSET(H21,-1,0)+1,OFFSET(H21,-1,0)))</f>
        <v>0</v>
      </c>
      <c r="I21">
        <f t="shared" ref="I21:I24" ca="1" si="27">IF(AND($C21&lt;=4,$C21&lt;&gt;0),0,IF(AND($C21="S",$X21&gt;0),OFFSET(I21,-1,0)+1,OFFSET(I21,-1,0)))</f>
        <v>0</v>
      </c>
      <c r="J21">
        <f ca="1">IF(OR($C21="S",$C21=0),0,MATCH(0,OFFSET($D21,1,$C21,ROW($C$119)-ROW($C21)),0))</f>
        <v>34</v>
      </c>
      <c r="K21">
        <f ca="1">IF(OR($C21="S",$C21=0),0,MATCH(OFFSET($D21,0,$C21)+IF($C21&lt;&gt;1,1,COUNTIF(QCI!$A$13:$A$24,ORÇAMENTO!E21)),OFFSET($D21,1,$C21,ROW($C$119)-ROW($C21)),0))</f>
        <v>4</v>
      </c>
      <c r="L21" s="116" t="str">
        <f t="shared" ref="L21:L24" ca="1" si="28">IF(OR($X21&gt;0,$C21=1,$C21=2,$C21=3,$C21=4),"F","")</f>
        <v>F</v>
      </c>
      <c r="M21" s="117" t="s">
        <v>196</v>
      </c>
      <c r="N21" s="118" t="str">
        <f t="shared" ref="N21:N24" ca="1" si="29">CHOOSE(1+LOG(1+2*(C21=1)+4*(C21=2)+8*(C21=3)+16*(C21=4)+32*(C21="S"),2),"","Meta","Nível 2","Nível 3","Nível 4","Serviço")</f>
        <v>Nível 2</v>
      </c>
      <c r="O21" s="119" t="str">
        <f t="shared" ref="O21:O24" ca="1" si="30">IF(OR($C21=0,$L21=""),"-",CONCATENATE(E21&amp;".",IF(AND($A$5&gt;=2,$C21&gt;=2),F21&amp;".",""),IF(AND($A$5&gt;=3,$C21&gt;=3),G21&amp;".",""),IF(AND($A$5&gt;=4,$C21&gt;=4),H21&amp;".",""),IF($C21="S",I21&amp;".","")))</f>
        <v>1.2.</v>
      </c>
      <c r="P21" s="120" t="s">
        <v>247</v>
      </c>
      <c r="Q21" s="121"/>
      <c r="R21" s="122" t="s">
        <v>463</v>
      </c>
      <c r="S21" s="123" t="str">
        <f ca="1">REFERENCIA.Unidade</f>
        <v>-</v>
      </c>
      <c r="T21" s="124">
        <f ca="1">OFFSET(CÁLCULO!H$15,ROW($T21)-ROW(T$15),0)</f>
        <v>0</v>
      </c>
      <c r="U21" s="125">
        <f t="shared" ca="1" si="17"/>
        <v>0</v>
      </c>
      <c r="V21" s="126" t="s">
        <v>156</v>
      </c>
      <c r="W21" s="124">
        <f ca="1">IF($C21="S",ROUND(IF(TIPOORCAMENTO="Proposto",ORÇAMENTO.CustoUnitario*(1+$AH21),ORÇAMENTO.PrecoUnitarioLicitado),15-13*$AF$10),0)</f>
        <v>0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7454.1</v>
      </c>
      <c r="Y21" s="128" t="s">
        <v>245</v>
      </c>
      <c r="Z21" t="str">
        <f t="shared" ref="Z21:Z24" ca="1" si="31">IF(AND($C21="S",$X21&gt;0),IF(ISBLANK($Y21),"RA",LEFT($Y21,2)),"")</f>
        <v/>
      </c>
      <c r="AA21" s="129">
        <f ca="1">IF($C21="S",IF($Z21="CP",$X21,IF($Z21="RA",(($X21)*QCI!$AA$3),0)),SomaAgrup)</f>
        <v>7454.1</v>
      </c>
      <c r="AB21" s="130">
        <f t="shared" ca="1" si="18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>
        <f ca="1">IF(C21&lt;=CRONO.NivelExibicao,MAX($AD$15:OFFSET(AD21,-1,0))+IF($C21&lt;&gt;1,1,MAX(1,COUNTIF(QCI!$A$13:$A$24,OFFSET($E21,-1,0)))),"")</f>
        <v>3</v>
      </c>
      <c r="AE21" s="7" t="b">
        <f ca="1">IF(AND($C21="S",ORÇAMENTO.CodBarra&lt;&gt;""),IF(ORÇAMENTO.Fonte="",ORÇAMENTO.CodBarra,CONCATENATE(ORÇAMENTO.Fonte," ",ORÇAMENTO.CodBarra)))</f>
        <v>0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(Sem Código)</v>
      </c>
      <c r="AG21" s="498">
        <f ca="1">ROUND(IF(DESONERACAO="sim",REFERENCIA.Desonerado,REFERENCIA.NaoDesonerado),2)</f>
        <v>0</v>
      </c>
      <c r="AH21" s="499">
        <f t="shared" ca="1" si="19"/>
        <v>0.23380000000000001</v>
      </c>
      <c r="AJ21" s="501"/>
      <c r="AL21" s="527"/>
      <c r="AM21" s="381">
        <f t="shared" ca="1" si="0"/>
        <v>7454.1</v>
      </c>
      <c r="AN21" s="566">
        <f t="shared" ca="1" si="20"/>
        <v>0</v>
      </c>
    </row>
    <row r="22" spans="1:40" x14ac:dyDescent="0.2">
      <c r="A22" t="str">
        <f t="shared" si="16"/>
        <v>S</v>
      </c>
      <c r="B22">
        <f t="shared" ca="1" si="21"/>
        <v>2</v>
      </c>
      <c r="C22" t="str">
        <f t="shared" ca="1" si="22"/>
        <v>S</v>
      </c>
      <c r="D22">
        <f t="shared" ca="1" si="23"/>
        <v>0</v>
      </c>
      <c r="E22">
        <f ca="1">IF($C22=1,OFFSET(E22,-1,0)+MAX(1,COUNTIF(QCI!$A$13:$A$24,OFFSET(ORÇAMENTO!E22,-1,0))),OFFSET(E22,-1,0))</f>
        <v>1</v>
      </c>
      <c r="F22">
        <f t="shared" ca="1" si="24"/>
        <v>2</v>
      </c>
      <c r="G22">
        <f t="shared" ca="1" si="25"/>
        <v>0</v>
      </c>
      <c r="H22">
        <f t="shared" ca="1" si="26"/>
        <v>0</v>
      </c>
      <c r="I22">
        <f t="shared" ca="1" si="27"/>
        <v>1</v>
      </c>
      <c r="J22">
        <f ca="1">IF(OR($C22="S",$C22=0),0,MATCH(0,OFFSET($D22,1,$C22,ROW($C$119)-ROW($C22)),0))</f>
        <v>0</v>
      </c>
      <c r="K22">
        <f ca="1">IF(OR($C22="S",$C22=0),0,MATCH(OFFSET($D22,0,$C22)+IF($C22&lt;&gt;1,1,COUNTIF(QCI!$A$13:$A$24,ORÇAMENTO!E22)),OFFSET($D22,1,$C22,ROW($C$119)-ROW($C22)),0))</f>
        <v>0</v>
      </c>
      <c r="L22" s="116" t="str">
        <f t="shared" ca="1" si="28"/>
        <v>F</v>
      </c>
      <c r="M22" s="117" t="s">
        <v>199</v>
      </c>
      <c r="N22" s="118" t="str">
        <f t="shared" ca="1" si="29"/>
        <v>Serviço</v>
      </c>
      <c r="O22" s="119" t="str">
        <f t="shared" ca="1" si="30"/>
        <v>1.2.1.</v>
      </c>
      <c r="P22" s="120" t="s">
        <v>474</v>
      </c>
      <c r="Q22" s="121" t="s">
        <v>487</v>
      </c>
      <c r="R22" s="122" t="str">
        <f ca="1">IF($C22="S",REFERENCIA.Descricao,"(digite a descrição aqui)")</f>
        <v>Engenheiro</v>
      </c>
      <c r="S22" s="123" t="str">
        <f ca="1">REFERENCIA.Unidade</f>
        <v>h</v>
      </c>
      <c r="T22" s="124">
        <f ca="1">OFFSET(CÁLCULO!H$15,ROW($T22)-ROW(T$15),0)</f>
        <v>15</v>
      </c>
      <c r="U22" s="125">
        <f t="shared" ca="1" si="17"/>
        <v>161.08000000000001</v>
      </c>
      <c r="V22" s="126" t="s">
        <v>156</v>
      </c>
      <c r="W22" s="124">
        <f ca="1">IF($C22="S",ROUND(IF(TIPOORCAMENTO="Proposto",ORÇAMENTO.CustoUnitario*(1+$AH22),ORÇAMENTO.PrecoUnitarioLicitado),15-13*$AF$10),0)</f>
        <v>198.74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2981.1</v>
      </c>
      <c r="Y22" s="128" t="s">
        <v>245</v>
      </c>
      <c r="Z22" t="str">
        <f t="shared" ca="1" si="31"/>
        <v>RA</v>
      </c>
      <c r="AA22" s="129">
        <f ca="1">IF($C22="S",IF($Z22="CP",$X22,IF($Z22="RA",(($X22)*QCI!$AA$3),0)),SomaAgrup)</f>
        <v>2981.1</v>
      </c>
      <c r="AB22" s="130">
        <f t="shared" ca="1" si="18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SICRO P9888</v>
      </c>
      <c r="AF22" s="13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22477</v>
      </c>
      <c r="AG22" s="498">
        <f ca="1">ROUND(IF(DESONERACAO="sim",REFERENCIA.Desonerado,REFERENCIA.NaoDesonerado),2)</f>
        <v>161.08000000000001</v>
      </c>
      <c r="AH22" s="499">
        <f t="shared" ca="1" si="19"/>
        <v>0.23380000000000001</v>
      </c>
      <c r="AJ22" s="501">
        <v>15</v>
      </c>
      <c r="AL22" s="527"/>
      <c r="AM22" s="381">
        <f t="shared" ca="1" si="0"/>
        <v>2981.1</v>
      </c>
      <c r="AN22" s="566">
        <f t="shared" ca="1" si="20"/>
        <v>198.74</v>
      </c>
    </row>
    <row r="23" spans="1:40" s="577" customFormat="1" x14ac:dyDescent="0.2">
      <c r="A23" s="577" t="str">
        <f>CHOOSE(1+LOG(1+2*(ORÇAMENTO.Nivel="Meta")+4*(ORÇAMENTO.Nivel="Nível 2")+8*(ORÇAMENTO.Nivel="Nível 3")+16*(ORÇAMENTO.Nivel="Nível 4")+32*(ORÇAMENTO.Nivel="Serviço"),2),0,1,2,3,4,"S")</f>
        <v>S</v>
      </c>
      <c r="B23" s="577">
        <f ca="1">IF(OR(C23="s",C23=0),OFFSET(B23,-1,0),C23)</f>
        <v>2</v>
      </c>
      <c r="C23" s="577" t="str">
        <f ca="1">IF(OFFSET(C23,-1,0)="L",1,IF(OFFSET(C23,-1,0)=1,2,IF(OR(A23="s",A23=0),"S",IF(AND(OFFSET(C23,-1,0)=2,A23=4),3,IF(AND(OR(OFFSET(C23,-1,0)="s",OFFSET(C23,-1,0)=0),A23&lt;&gt;"s",A23&gt;OFFSET(B23,-1,0)),OFFSET(B23,-1,0),A23)))))</f>
        <v>S</v>
      </c>
      <c r="D23" s="577">
        <f ca="1">IF(OR(C23="S",C23=0),0,IF(ISERROR(K23),J23,SMALL(J23:K23,1)))</f>
        <v>0</v>
      </c>
      <c r="E23" s="577">
        <f ca="1">IF($C23=1,OFFSET(E23,-1,0)+MAX(1,COUNTIF(QCI!$A$13:$A$24,OFFSET(ORÇAMENTO!E23,-1,0))),OFFSET(E23,-1,0))</f>
        <v>1</v>
      </c>
      <c r="F23" s="577">
        <f ca="1">IF($C23=1,0,IF($C23=2,OFFSET(F23,-1,0)+1,OFFSET(F23,-1,0)))</f>
        <v>2</v>
      </c>
      <c r="G23" s="577">
        <f ca="1">IF(AND($C23&lt;=2,$C23&lt;&gt;0),0,IF($C23=3,OFFSET(G23,-1,0)+1,OFFSET(G23,-1,0)))</f>
        <v>0</v>
      </c>
      <c r="H23" s="577">
        <f ca="1">IF(AND($C23&lt;=3,$C23&lt;&gt;0),0,IF($C23=4,OFFSET(H23,-1,0)+1,OFFSET(H23,-1,0)))</f>
        <v>0</v>
      </c>
      <c r="I23" s="577">
        <f ca="1">IF(AND($C23&lt;=4,$C23&lt;&gt;0),0,IF(AND($C23="S",$X23&gt;0),OFFSET(I23,-1,0)+1,OFFSET(I23,-1,0)))</f>
        <v>2</v>
      </c>
      <c r="J23" s="577">
        <f ca="1">IF(OR($C23="S",$C23=0),0,MATCH(0,OFFSET($D23,1,$C23,ROW($C$119)-ROW($C23)),0))</f>
        <v>0</v>
      </c>
      <c r="K23" s="577">
        <f ca="1">IF(OR($C23="S",$C23=0),0,MATCH(OFFSET($D23,0,$C23)+IF($C23&lt;&gt;1,1,COUNTIF(QCI!$A$13:$A$24,ORÇAMENTO!E23)),OFFSET($D23,1,$C23,ROW($C$119)-ROW($C23)),0))</f>
        <v>0</v>
      </c>
      <c r="L23" s="116" t="str">
        <f ca="1">IF(OR($X23&gt;0,$C23=1,$C23=2,$C23=3,$C23=4),"F","")</f>
        <v>F</v>
      </c>
      <c r="M23" s="117" t="s">
        <v>199</v>
      </c>
      <c r="N23" s="118" t="str">
        <f ca="1">CHOOSE(1+LOG(1+2*(C23=1)+4*(C23=2)+8*(C23=3)+16*(C23=4)+32*(C23="S"),2),"","Meta","Nível 2","Nível 3","Nível 4","Serviço")</f>
        <v>Serviço</v>
      </c>
      <c r="O23" s="119" t="str">
        <f ca="1">IF(OR($C23=0,$L23=""),"-",CONCATENATE(E23&amp;".",IF(AND($A$5&gt;=2,$C23&gt;=2),F23&amp;".",""),IF(AND($A$5&gt;=3,$C23&gt;=3),G23&amp;".",""),IF(AND($A$5&gt;=4,$C23&gt;=4),H23&amp;".",""),IF($C23="S",I23&amp;".","")))</f>
        <v>1.2.2.</v>
      </c>
      <c r="P23" s="120" t="s">
        <v>474</v>
      </c>
      <c r="Q23" s="121" t="s">
        <v>499</v>
      </c>
      <c r="R23" s="122" t="str">
        <f ca="1">IF($C23="S",REFERENCIA.Descricao,"(digite a descrição aqui)")</f>
        <v>Encarregado de pavimentação</v>
      </c>
      <c r="S23" s="123" t="str">
        <f ca="1">REFERENCIA.Unidade</f>
        <v>h</v>
      </c>
      <c r="T23" s="124">
        <f ca="1">OFFSET(CÁLCULO!H$15,ROW($T23)-ROW(T$15),0)</f>
        <v>60</v>
      </c>
      <c r="U23" s="125">
        <f t="shared" ca="1" si="17"/>
        <v>46.37</v>
      </c>
      <c r="V23" s="126" t="s">
        <v>156</v>
      </c>
      <c r="W23" s="124">
        <f ca="1">IF($C23="S",ROUND(IF(TIPOORCAMENTO="Proposto",ORÇAMENTO.CustoUnitario*(1+$AH23),ORÇAMENTO.PrecoUnitarioLicitado),15-13*$AF$10),0)</f>
        <v>57.21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3432.6</v>
      </c>
      <c r="Y23" s="128" t="s">
        <v>245</v>
      </c>
      <c r="Z23" s="577" t="str">
        <f ca="1">IF(AND($C23="S",$X23&gt;0),IF(ISBLANK($Y23),"RA",LEFT($Y23,2)),"")</f>
        <v>RA</v>
      </c>
      <c r="AA23" s="129">
        <f ca="1">IF($C23="S",IF($Z23="CP",$X23,IF($Z23="RA",(($X23)*QCI!$AA$3),0)),SomaAgrup)</f>
        <v>3432.6</v>
      </c>
      <c r="AB23" s="130">
        <f ca="1">IF($C23="S",IF($Z23="OU",ROUND($X23,2),0),SomaAgrup)</f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s="577" t="str">
        <f ca="1">IF(C23&lt;=CRONO.NivelExibicao,MAX($AD$15:OFFSET(AD23,-1,0))+IF($C23&lt;&gt;1,1,MAX(1,COUNTIF(QCI!$A$13:$A$24,OFFSET($E23,-1,0)))),"")</f>
        <v/>
      </c>
      <c r="AE23" s="7" t="str">
        <f ca="1">IF(AND($C23="S",ORÇAMENTO.CodBarra&lt;&gt;""),IF(ORÇAMENTO.Fonte="",ORÇAMENTO.CodBarra,CONCATENATE(ORÇAMENTO.Fonte," ",ORÇAMENTO.CodBarra)))</f>
        <v>SICRO P9874</v>
      </c>
      <c r="AF23" s="576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22464</v>
      </c>
      <c r="AG23" s="498">
        <f ca="1">ROUND(IF(DESONERACAO="sim",REFERENCIA.Desonerado,REFERENCIA.NaoDesonerado),2)</f>
        <v>46.37</v>
      </c>
      <c r="AH23" s="499">
        <f ca="1">ROUND(IF(ISNUMBER(ORÇAMENTO.OpcaoBDI),ORÇAMENTO.OpcaoBDI,IF(LEFT(ORÇAMENTO.OpcaoBDI,3)="BDI",HLOOKUP(ORÇAMENTO.OpcaoBDI,$F$4:$H$5,2,FALSE),0)),15-11*$AF$9)</f>
        <v>0.23380000000000001</v>
      </c>
      <c r="AJ23" s="501">
        <v>60</v>
      </c>
      <c r="AL23" s="527"/>
      <c r="AM23" s="381">
        <f t="shared" ca="1" si="0"/>
        <v>3432.6</v>
      </c>
      <c r="AN23" s="566">
        <f ca="1">ROUND(ORÇAMENTO.CustoUnitario*(1+$AH23),2)</f>
        <v>57.21</v>
      </c>
    </row>
    <row r="24" spans="1:40" x14ac:dyDescent="0.2">
      <c r="A24" t="str">
        <f t="shared" si="16"/>
        <v>S</v>
      </c>
      <c r="B24">
        <f t="shared" ca="1" si="21"/>
        <v>2</v>
      </c>
      <c r="C24" t="str">
        <f t="shared" ca="1" si="22"/>
        <v>S</v>
      </c>
      <c r="D24">
        <f t="shared" ca="1" si="23"/>
        <v>0</v>
      </c>
      <c r="E24">
        <f ca="1">IF($C24=1,OFFSET(E24,-1,0)+MAX(1,COUNTIF(QCI!$A$13:$A$24,OFFSET(ORÇAMENTO!E24,-1,0))),OFFSET(E24,-1,0))</f>
        <v>1</v>
      </c>
      <c r="F24">
        <f t="shared" ca="1" si="24"/>
        <v>2</v>
      </c>
      <c r="G24">
        <f t="shared" ca="1" si="25"/>
        <v>0</v>
      </c>
      <c r="H24">
        <f t="shared" ca="1" si="26"/>
        <v>0</v>
      </c>
      <c r="I24">
        <f t="shared" ca="1" si="27"/>
        <v>3</v>
      </c>
      <c r="J24">
        <f ca="1">IF(OR($C24="S",$C24=0),0,MATCH(0,OFFSET($D24,1,$C24,ROW($C$119)-ROW($C24)),0))</f>
        <v>0</v>
      </c>
      <c r="K24">
        <f ca="1">IF(OR($C24="S",$C24=0),0,MATCH(OFFSET($D24,0,$C24)+IF($C24&lt;&gt;1,1,COUNTIF(QCI!$A$13:$A$24,ORÇAMENTO!E24)),OFFSET($D24,1,$C24,ROW($C$119)-ROW($C24)),0))</f>
        <v>0</v>
      </c>
      <c r="L24" s="116" t="str">
        <f t="shared" ca="1" si="28"/>
        <v>F</v>
      </c>
      <c r="M24" s="117" t="s">
        <v>199</v>
      </c>
      <c r="N24" s="118" t="str">
        <f t="shared" ca="1" si="29"/>
        <v>Serviço</v>
      </c>
      <c r="O24" s="119" t="str">
        <f t="shared" ca="1" si="30"/>
        <v>1.2.3.</v>
      </c>
      <c r="P24" s="120" t="s">
        <v>474</v>
      </c>
      <c r="Q24" s="121" t="s">
        <v>488</v>
      </c>
      <c r="R24" s="122" t="str">
        <f ca="1">IF($C24="S",REFERENCIA.Descricao,"(digite a descrição aqui)")</f>
        <v>Auxiliar de topografia</v>
      </c>
      <c r="S24" s="123" t="str">
        <f ca="1">REFERENCIA.Unidade</f>
        <v>h</v>
      </c>
      <c r="T24" s="124">
        <f ca="1">OFFSET(CÁLCULO!H$15,ROW($T24)-ROW(T$15),0)</f>
        <v>30</v>
      </c>
      <c r="U24" s="125">
        <f t="shared" ca="1" si="17"/>
        <v>28.11</v>
      </c>
      <c r="V24" s="126" t="s">
        <v>156</v>
      </c>
      <c r="W24" s="124">
        <f ca="1">IF($C24="S",ROUND(IF(TIPOORCAMENTO="Proposto",ORÇAMENTO.CustoUnitario*(1+$AH24),ORÇAMENTO.PrecoUnitarioLicitado),15-13*$AF$10),0)</f>
        <v>34.68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1040.4000000000001</v>
      </c>
      <c r="Y24" s="128" t="s">
        <v>245</v>
      </c>
      <c r="Z24" t="str">
        <f t="shared" ca="1" si="31"/>
        <v>RA</v>
      </c>
      <c r="AA24" s="129">
        <f ca="1">IF($C24="S",IF($Z24="CP",$X24,IF($Z24="RA",(($X24)*QCI!$AA$3),0)),SomaAgrup)</f>
        <v>1040.4000000000001</v>
      </c>
      <c r="AB24" s="130">
        <f t="shared" ca="1" si="18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SICRO P9828</v>
      </c>
      <c r="AF24" s="13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22428</v>
      </c>
      <c r="AG24" s="498">
        <f ca="1">ROUND(IF(DESONERACAO="sim",REFERENCIA.Desonerado,REFERENCIA.NaoDesonerado),2)</f>
        <v>28.11</v>
      </c>
      <c r="AH24" s="499">
        <f t="shared" ca="1" si="19"/>
        <v>0.23380000000000001</v>
      </c>
      <c r="AJ24" s="501">
        <v>30</v>
      </c>
      <c r="AL24" s="527"/>
      <c r="AM24" s="381">
        <f t="shared" ca="1" si="0"/>
        <v>1040.4000000000001</v>
      </c>
      <c r="AN24" s="566">
        <f t="shared" ca="1" si="20"/>
        <v>34.68</v>
      </c>
    </row>
    <row r="25" spans="1:40" x14ac:dyDescent="0.2">
      <c r="A25">
        <f t="shared" si="16"/>
        <v>2</v>
      </c>
      <c r="B25">
        <f ca="1">IF(OR(C25="s",C25=0),OFFSET(B25,-1,0),C25)</f>
        <v>2</v>
      </c>
      <c r="C25">
        <f ca="1">IF(OFFSET(C25,-1,0)="L",1,IF(OFFSET(C25,-1,0)=1,2,IF(OR(A25="s",A25=0),"S",IF(AND(OFFSET(C25,-1,0)=2,A25=4),3,IF(AND(OR(OFFSET(C25,-1,0)="s",OFFSET(C25,-1,0)=0),A25&lt;&gt;"s",A25&gt;OFFSET(B25,-1,0)),OFFSET(B25,-1,0),A25)))))</f>
        <v>2</v>
      </c>
      <c r="D25">
        <f ca="1">IF(OR(C25="S",C25=0),0,IF(ISERROR(K25),J25,SMALL(J25:K25,1)))</f>
        <v>9</v>
      </c>
      <c r="E25">
        <f ca="1">IF($C25=1,OFFSET(E25,-1,0)+MAX(1,COUNTIF(QCI!$A$13:$A$24,OFFSET(ORÇAMENTO!E25,-1,0))),OFFSET(E25,-1,0))</f>
        <v>1</v>
      </c>
      <c r="F25">
        <f ca="1">IF($C25=1,0,IF($C25=2,OFFSET(F25,-1,0)+1,OFFSET(F25,-1,0)))</f>
        <v>3</v>
      </c>
      <c r="G25">
        <f ca="1">IF(AND($C25&lt;=2,$C25&lt;&gt;0),0,IF($C25=3,OFFSET(G25,-1,0)+1,OFFSET(G25,-1,0)))</f>
        <v>0</v>
      </c>
      <c r="H25">
        <f ca="1">IF(AND($C25&lt;=3,$C25&lt;&gt;0),0,IF($C25=4,OFFSET(H25,-1,0)+1,OFFSET(H25,-1,0)))</f>
        <v>0</v>
      </c>
      <c r="I25">
        <f ca="1">IF(AND($C25&lt;=4,$C25&lt;&gt;0),0,IF(AND($C25="S",$X25&gt;0),OFFSET(I25,-1,0)+1,OFFSET(I25,-1,0)))</f>
        <v>0</v>
      </c>
      <c r="J25">
        <f ca="1">IF(OR($C25="S",$C25=0),0,MATCH(0,OFFSET($D25,1,$C25,ROW($C$119)-ROW($C25)),0))</f>
        <v>30</v>
      </c>
      <c r="K25">
        <f ca="1">IF(OR($C25="S",$C25=0),0,MATCH(OFFSET($D25,0,$C25)+IF($C25&lt;&gt;1,1,COUNTIF(QCI!$A$13:$A$24,ORÇAMENTO!E25)),OFFSET($D25,1,$C25,ROW($C$119)-ROW($C25)),0))</f>
        <v>9</v>
      </c>
      <c r="L25" s="116" t="str">
        <f ca="1">IF(OR($X25&gt;0,$C25=1,$C25=2,$C25=3,$C25=4),"F","")</f>
        <v>F</v>
      </c>
      <c r="M25" s="117" t="s">
        <v>196</v>
      </c>
      <c r="N25" s="118" t="str">
        <f ca="1">CHOOSE(1+LOG(1+2*(C25=1)+4*(C25=2)+8*(C25=3)+16*(C25=4)+32*(C25="S"),2),"","Meta","Nível 2","Nível 3","Nível 4","Serviço")</f>
        <v>Nível 2</v>
      </c>
      <c r="O25" s="119" t="str">
        <f ca="1">IF(OR($C25=0,$L25=""),"-",CONCATENATE(E25&amp;".",IF(AND($A$5&gt;=2,$C25&gt;=2),F25&amp;".",""),IF(AND($A$5&gt;=3,$C25&gt;=3),G25&amp;".",""),IF(AND($A$5&gt;=4,$C25&gt;=4),H25&amp;".",""),IF($C25="S",I25&amp;".","")))</f>
        <v>1.3.</v>
      </c>
      <c r="P25" s="120" t="s">
        <v>247</v>
      </c>
      <c r="Q25" s="121"/>
      <c r="R25" s="122" t="s">
        <v>464</v>
      </c>
      <c r="S25" s="123" t="str">
        <f ca="1">REFERENCIA.Unidade</f>
        <v>-</v>
      </c>
      <c r="T25" s="124">
        <f ca="1">OFFSET(CÁLCULO!H$15,ROW($T25)-ROW(T$15),0)</f>
        <v>0</v>
      </c>
      <c r="U25" s="125">
        <f t="shared" ca="1" si="17"/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99876.74</v>
      </c>
      <c r="Y25" s="128" t="s">
        <v>245</v>
      </c>
      <c r="Z25" t="str">
        <f ca="1">IF(AND($C25="S",$X25&gt;0),IF(ISBLANK($Y25),"RA",LEFT($Y25,2)),"")</f>
        <v/>
      </c>
      <c r="AA25" s="129">
        <f ca="1">IF($C25="S",IF($Z25="CP",$X25,IF($Z25="RA",(($X25)*QCI!$AA$3),0)),SomaAgrup)</f>
        <v>99876.739999999991</v>
      </c>
      <c r="AB25" s="130">
        <f t="shared" ca="1" si="18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>
        <f ca="1">IF(C25&lt;=CRONO.NivelExibicao,MAX($AD$15:OFFSET(AD25,-1,0))+IF($C25&lt;&gt;1,1,MAX(1,COUNTIF(QCI!$A$13:$A$24,OFFSET($E25,-1,0)))),"")</f>
        <v>4</v>
      </c>
      <c r="AE25" s="7" t="b">
        <f ca="1">IF(AND($C25="S",ORÇAMENTO.CodBarra&lt;&gt;""),IF(ORÇAMENTO.Fonte="",ORÇAMENTO.CodBarra,CONCATENATE(ORÇAMENTO.Fonte," ",ORÇAMENTO.CodBarra)))</f>
        <v>0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(Sem Código)</v>
      </c>
      <c r="AG25" s="498">
        <f ca="1">ROUND(IF(DESONERACAO="sim",REFERENCIA.Desonerado,REFERENCIA.NaoDesonerado),2)</f>
        <v>0</v>
      </c>
      <c r="AH25" s="499">
        <f t="shared" ca="1" si="19"/>
        <v>0.23380000000000001</v>
      </c>
      <c r="AJ25" s="501"/>
      <c r="AL25" s="527"/>
      <c r="AM25" s="381">
        <f t="shared" ca="1" si="0"/>
        <v>99876.74</v>
      </c>
      <c r="AN25" s="566">
        <f t="shared" ca="1" si="20"/>
        <v>0</v>
      </c>
    </row>
    <row r="26" spans="1:40" ht="38.25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1</v>
      </c>
      <c r="J26">
        <f ca="1">IF(OR($C26="S",$C26=0),0,MATCH(0,OFFSET($D26,1,$C26,ROW($C$119)-ROW($C26)),0))</f>
        <v>0</v>
      </c>
      <c r="K26">
        <f ca="1">IF(OR($C26="S",$C26=0),0,MATCH(OFFSET($D26,0,$C26)+IF($C26&lt;&gt;1,1,COUNTIF(QCI!$A$13:$A$24,ORÇAMENTO!E26)),OFFSET($D26,1,$C26,ROW($C$119)-ROW($C26)),0))</f>
        <v>0</v>
      </c>
      <c r="L26" s="116" t="str">
        <f t="shared" ca="1" si="9"/>
        <v>F</v>
      </c>
      <c r="M26" s="117" t="s">
        <v>199</v>
      </c>
      <c r="N26" s="118" t="str">
        <f t="shared" ca="1" si="10"/>
        <v>Serviço</v>
      </c>
      <c r="O26" s="119" t="str">
        <f t="shared" ca="1" si="11"/>
        <v>1.3.1.</v>
      </c>
      <c r="P26" s="120" t="s">
        <v>474</v>
      </c>
      <c r="Q26" s="121" t="s">
        <v>477</v>
      </c>
      <c r="R26" s="122" t="str">
        <f ca="1">IF($C26="S",REFERENCIA.Descricao,"(digite a descrição aqui)")</f>
        <v>Escavação, carga e transporte de material de 1ª categoria - DMT de 1.000 a 1.200 m - caminho de serviço pavimentado - com escavadeira e caminhão basculante de 14 m³</v>
      </c>
      <c r="S26" s="123" t="str">
        <f ca="1">REFERENCIA.Unidade</f>
        <v>m³</v>
      </c>
      <c r="T26" s="124">
        <f ca="1">OFFSET(CÁLCULO!H$15,ROW($T26)-ROW(T$15),0)</f>
        <v>141.80000000000001</v>
      </c>
      <c r="U26" s="125">
        <f t="shared" ca="1" si="17"/>
        <v>7.82</v>
      </c>
      <c r="V26" s="126" t="s">
        <v>156</v>
      </c>
      <c r="W26" s="124">
        <f ca="1">IF($C26="S",ROUND(IF(TIPOORCAMENTO="Proposto",ORÇAMENTO.CustoUnitario*(1+$AH26),ORÇAMENTO.PrecoUnitarioLicitado),15-13*$AF$10),0)</f>
        <v>9.65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1368.37</v>
      </c>
      <c r="Y26" s="128" t="s">
        <v>245</v>
      </c>
      <c r="Z26" t="str">
        <f t="shared" ca="1" si="12"/>
        <v>RA</v>
      </c>
      <c r="AA26" s="129">
        <f ca="1">IF($C26="S",IF($Z26="CP",$X26,IF($Z26="RA",(($X26)*QCI!$AA$3),0)),SomaAgrup)</f>
        <v>1368.37</v>
      </c>
      <c r="AB26" s="130">
        <f t="shared" ca="1" si="13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SICRO 5502166</v>
      </c>
      <c r="AF26" s="13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21433</v>
      </c>
      <c r="AG26" s="498">
        <f ca="1">ROUND(IF(DESONERACAO="sim",REFERENCIA.Desonerado,REFERENCIA.NaoDesonerado),2)</f>
        <v>7.82</v>
      </c>
      <c r="AH26" s="499">
        <f t="shared" ca="1" si="14"/>
        <v>0.23380000000000001</v>
      </c>
      <c r="AJ26" s="501">
        <v>141.80000000000001</v>
      </c>
      <c r="AL26" s="527"/>
      <c r="AM26" s="381">
        <f t="shared" ca="1" si="0"/>
        <v>1368.37</v>
      </c>
      <c r="AN26" s="566">
        <f t="shared" ca="1" si="15"/>
        <v>9.65</v>
      </c>
    </row>
    <row r="27" spans="1:40" ht="25.5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3</v>
      </c>
      <c r="G27">
        <f t="shared" ca="1" si="6"/>
        <v>0</v>
      </c>
      <c r="H27">
        <f t="shared" ca="1" si="7"/>
        <v>0</v>
      </c>
      <c r="I27">
        <f t="shared" ca="1" si="8"/>
        <v>2</v>
      </c>
      <c r="J27">
        <f ca="1">IF(OR($C27="S",$C27=0),0,MATCH(0,OFFSET($D27,1,$C27,ROW($C$119)-ROW($C27)),0))</f>
        <v>0</v>
      </c>
      <c r="K27">
        <f ca="1">IF(OR($C27="S",$C27=0),0,MATCH(OFFSET($D27,0,$C27)+IF($C27&lt;&gt;1,1,COUNTIF(QCI!$A$13:$A$24,ORÇAMENTO!E27)),OFFSET($D27,1,$C27,ROW($C$119)-ROW($C27)),0))</f>
        <v>0</v>
      </c>
      <c r="L27" s="116" t="str">
        <f t="shared" ca="1" si="9"/>
        <v>F</v>
      </c>
      <c r="M27" s="117" t="s">
        <v>199</v>
      </c>
      <c r="N27" s="118" t="str">
        <f t="shared" ca="1" si="10"/>
        <v>Serviço</v>
      </c>
      <c r="O27" s="119" t="str">
        <f t="shared" ca="1" si="11"/>
        <v>1.3.2.</v>
      </c>
      <c r="P27" s="120" t="s">
        <v>450</v>
      </c>
      <c r="Q27" s="121" t="s">
        <v>466</v>
      </c>
      <c r="R27" s="122" t="str">
        <f ca="1">IF($C27="S",REFERENCIA.Descricao,"(digite a descrição aqui)")</f>
        <v>TUBO DE CONCRETO PA2 COMERCIAL PARA DRENAGEM - D=0,40 m (fornecimento e instalação)</v>
      </c>
      <c r="S27" s="123" t="str">
        <f ca="1">REFERENCIA.Unidade</f>
        <v>M</v>
      </c>
      <c r="T27" s="124">
        <f ca="1">OFFSET(CÁLCULO!H$15,ROW($T27)-ROW(T$15),0)</f>
        <v>131</v>
      </c>
      <c r="U27" s="125">
        <f t="shared" ca="1" si="17"/>
        <v>195.84</v>
      </c>
      <c r="V27" s="126" t="s">
        <v>156</v>
      </c>
      <c r="W27" s="124">
        <f ca="1">IF($C27="S",ROUND(IF(TIPOORCAMENTO="Proposto",ORÇAMENTO.CustoUnitario*(1+$AH27),ORÇAMENTO.PrecoUnitarioLicitado),15-13*$AF$10),0)</f>
        <v>241.63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31653.53</v>
      </c>
      <c r="Y27" s="128" t="s">
        <v>245</v>
      </c>
      <c r="Z27" t="str">
        <f t="shared" ca="1" si="12"/>
        <v>RA</v>
      </c>
      <c r="AA27" s="129">
        <f ca="1">IF($C27="S",IF($Z27="CP",$X27,IF($Z27="RA",(($X27)*QCI!$AA$3),0)),SomaAgrup)</f>
        <v>31653.53</v>
      </c>
      <c r="AB27" s="130">
        <f t="shared" ca="1" si="13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Composição 4</v>
      </c>
      <c r="AF27" s="13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6</v>
      </c>
      <c r="AG27" s="498">
        <f ca="1">ROUND(IF(DESONERACAO="sim",REFERENCIA.Desonerado,REFERENCIA.NaoDesonerado),2)</f>
        <v>195.84</v>
      </c>
      <c r="AH27" s="499">
        <f t="shared" ca="1" si="14"/>
        <v>0.23380000000000001</v>
      </c>
      <c r="AJ27" s="501">
        <v>131</v>
      </c>
      <c r="AL27" s="527"/>
      <c r="AM27" s="381">
        <f t="shared" ca="1" si="0"/>
        <v>31653.53</v>
      </c>
      <c r="AN27" s="566">
        <f t="shared" ca="1" si="15"/>
        <v>241.63</v>
      </c>
    </row>
    <row r="28" spans="1:40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1</v>
      </c>
      <c r="F28">
        <f t="shared" ca="1" si="5"/>
        <v>3</v>
      </c>
      <c r="G28">
        <f t="shared" ca="1" si="6"/>
        <v>0</v>
      </c>
      <c r="H28">
        <f t="shared" ca="1" si="7"/>
        <v>0</v>
      </c>
      <c r="I28">
        <f t="shared" ca="1" si="8"/>
        <v>3</v>
      </c>
      <c r="J28">
        <f ca="1">IF(OR($C28="S",$C28=0),0,MATCH(0,OFFSET($D28,1,$C28,ROW($C$119)-ROW($C28)),0))</f>
        <v>0</v>
      </c>
      <c r="K28">
        <f ca="1">IF(OR($C28="S",$C28=0),0,MATCH(OFFSET($D28,0,$C28)+IF($C28&lt;&gt;1,1,COUNTIF(QCI!$A$13:$A$24,ORÇAMENTO!E28)),OFFSET($D28,1,$C28,ROW($C$119)-ROW($C28)),0))</f>
        <v>0</v>
      </c>
      <c r="L28" s="116" t="str">
        <f t="shared" ca="1" si="9"/>
        <v>F</v>
      </c>
      <c r="M28" s="117" t="s">
        <v>199</v>
      </c>
      <c r="N28" s="118" t="str">
        <f t="shared" ca="1" si="10"/>
        <v>Serviço</v>
      </c>
      <c r="O28" s="119" t="str">
        <f t="shared" ca="1" si="11"/>
        <v>1.3.3.</v>
      </c>
      <c r="P28" s="120" t="s">
        <v>474</v>
      </c>
      <c r="Q28" s="121" t="s">
        <v>478</v>
      </c>
      <c r="R28" s="122" t="str">
        <f ca="1">IF($C28="S",REFERENCIA.Descricao,"(digite a descrição aqui)")</f>
        <v>Reaterro e compactação com soquete vibratório</v>
      </c>
      <c r="S28" s="123" t="str">
        <f ca="1">REFERENCIA.Unidade</f>
        <v>m³</v>
      </c>
      <c r="T28" s="124">
        <f ca="1">OFFSET(CÁLCULO!H$15,ROW($T28)-ROW(T$15),0)</f>
        <v>108.73</v>
      </c>
      <c r="U28" s="125">
        <f t="shared" ca="1" si="17"/>
        <v>20.09</v>
      </c>
      <c r="V28" s="126" t="s">
        <v>156</v>
      </c>
      <c r="W28" s="124">
        <f ca="1">IF($C28="S",ROUND(IF(TIPOORCAMENTO="Proposto",ORÇAMENTO.CustoUnitario*(1+$AH28),ORÇAMENTO.PrecoUnitarioLicitado),15-13*$AF$10),0)</f>
        <v>24.79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2695.42</v>
      </c>
      <c r="Y28" s="128" t="s">
        <v>245</v>
      </c>
      <c r="Z28" t="str">
        <f t="shared" ca="1" si="12"/>
        <v>RA</v>
      </c>
      <c r="AA28" s="129">
        <f ca="1">IF($C28="S",IF($Z28="CP",$X28,IF($Z28="RA",(($X28)*QCI!$AA$3),0)),SomaAgrup)</f>
        <v>2695.42</v>
      </c>
      <c r="AB28" s="130">
        <f t="shared" ca="1" si="13"/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SICRO 4815671</v>
      </c>
      <c r="AF28" s="13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20800</v>
      </c>
      <c r="AG28" s="498">
        <f ca="1">ROUND(IF(DESONERACAO="sim",REFERENCIA.Desonerado,REFERENCIA.NaoDesonerado),2)</f>
        <v>20.09</v>
      </c>
      <c r="AH28" s="499">
        <f t="shared" ca="1" si="14"/>
        <v>0.23380000000000001</v>
      </c>
      <c r="AJ28" s="501">
        <v>108.73</v>
      </c>
      <c r="AL28" s="527"/>
      <c r="AM28" s="381">
        <f t="shared" ca="1" si="0"/>
        <v>2695.42</v>
      </c>
      <c r="AN28" s="566">
        <f t="shared" ca="1" si="15"/>
        <v>24.79</v>
      </c>
    </row>
    <row r="29" spans="1:40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3</v>
      </c>
      <c r="G29">
        <f t="shared" ca="1" si="6"/>
        <v>0</v>
      </c>
      <c r="H29">
        <f t="shared" ca="1" si="7"/>
        <v>0</v>
      </c>
      <c r="I29">
        <f t="shared" ca="1" si="8"/>
        <v>4</v>
      </c>
      <c r="J29">
        <f ca="1">IF(OR($C29="S",$C29=0),0,MATCH(0,OFFSET($D29,1,$C29,ROW($C$119)-ROW($C29)),0))</f>
        <v>0</v>
      </c>
      <c r="K29">
        <f ca="1">IF(OR($C29="S",$C29=0),0,MATCH(OFFSET($D29,0,$C29)+IF($C29&lt;&gt;1,1,COUNTIF(QCI!$A$13:$A$24,ORÇAMENTO!E29)),OFFSET($D29,1,$C29,ROW($C$119)-ROW($C29)),0))</f>
        <v>0</v>
      </c>
      <c r="L29" s="116" t="str">
        <f t="shared" ca="1" si="9"/>
        <v>F</v>
      </c>
      <c r="M29" s="117" t="s">
        <v>199</v>
      </c>
      <c r="N29" s="118" t="str">
        <f t="shared" ca="1" si="10"/>
        <v>Serviço</v>
      </c>
      <c r="O29" s="119" t="str">
        <f t="shared" ca="1" si="11"/>
        <v>1.3.4.</v>
      </c>
      <c r="P29" s="120" t="s">
        <v>474</v>
      </c>
      <c r="Q29" s="121" t="s">
        <v>500</v>
      </c>
      <c r="R29" s="122" t="str">
        <f ca="1">IF($C29="S",REFERENCIA.Descricao,"(digite a descrição aqui)")</f>
        <v>Usinagem de brita graduada com brita comercial em usina de 300 t/h</v>
      </c>
      <c r="S29" s="123" t="str">
        <f ca="1">REFERENCIA.Unidade</f>
        <v>m³</v>
      </c>
      <c r="T29" s="124">
        <f ca="1">OFFSET(CÁLCULO!H$15,ROW($T29)-ROW(T$15),0)</f>
        <v>108.73</v>
      </c>
      <c r="U29" s="125">
        <f t="shared" ca="1" si="17"/>
        <v>218.77</v>
      </c>
      <c r="V29" s="126" t="s">
        <v>156</v>
      </c>
      <c r="W29" s="124">
        <f ca="1">IF($C29="S",ROUND(IF(TIPOORCAMENTO="Proposto",ORÇAMENTO.CustoUnitario*(1+$AH29),ORÇAMENTO.PrecoUnitarioLicitado),15-13*$AF$10),0)</f>
        <v>269.92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29348.400000000001</v>
      </c>
      <c r="Y29" s="128" t="s">
        <v>245</v>
      </c>
      <c r="Z29" t="str">
        <f t="shared" ca="1" si="12"/>
        <v>RA</v>
      </c>
      <c r="AA29" s="129">
        <f ca="1">IF($C29="S",IF($Z29="CP",$X29,IF($Z29="RA",(($X29)*QCI!$AA$3),0)),SomaAgrup)</f>
        <v>29348.400000000001</v>
      </c>
      <c r="AB29" s="130">
        <f t="shared" ca="1" si="13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SICRO 6416040</v>
      </c>
      <c r="AF29" s="13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22130</v>
      </c>
      <c r="AG29" s="498">
        <f ca="1">ROUND(IF(DESONERACAO="sim",REFERENCIA.Desonerado,REFERENCIA.NaoDesonerado),2)</f>
        <v>218.77</v>
      </c>
      <c r="AH29" s="499">
        <f t="shared" ca="1" si="14"/>
        <v>0.23380000000000001</v>
      </c>
      <c r="AJ29" s="501">
        <v>108.73</v>
      </c>
      <c r="AL29" s="527"/>
      <c r="AM29" s="381">
        <f t="shared" ca="1" si="0"/>
        <v>29348.400000000001</v>
      </c>
      <c r="AN29" s="566">
        <f t="shared" ca="1" si="15"/>
        <v>269.92</v>
      </c>
    </row>
    <row r="30" spans="1:40" x14ac:dyDescent="0.2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IF($C30=1,OFFSET(E30,-1,0)+MAX(1,COUNTIF(QCI!$A$13:$A$24,OFFSET(ORÇAMENTO!E30,-1,0))),OFFSET(E30,-1,0))</f>
        <v>1</v>
      </c>
      <c r="F30">
        <f t="shared" ca="1" si="5"/>
        <v>3</v>
      </c>
      <c r="G30">
        <f t="shared" ca="1" si="6"/>
        <v>0</v>
      </c>
      <c r="H30">
        <f t="shared" ca="1" si="7"/>
        <v>0</v>
      </c>
      <c r="I30">
        <f t="shared" ca="1" si="8"/>
        <v>5</v>
      </c>
      <c r="J30">
        <f ca="1">IF(OR($C30="S",$C30=0),0,MATCH(0,OFFSET($D30,1,$C30,ROW($C$119)-ROW($C30)),0))</f>
        <v>0</v>
      </c>
      <c r="K30">
        <f ca="1">IF(OR($C30="S",$C30=0),0,MATCH(OFFSET($D30,0,$C30)+IF($C30&lt;&gt;1,1,COUNTIF(QCI!$A$13:$A$24,ORÇAMENTO!E30)),OFFSET($D30,1,$C30,ROW($C$119)-ROW($C30)),0))</f>
        <v>0</v>
      </c>
      <c r="L30" s="116" t="str">
        <f t="shared" ca="1" si="9"/>
        <v>F</v>
      </c>
      <c r="M30" s="117" t="s">
        <v>199</v>
      </c>
      <c r="N30" s="118" t="str">
        <f t="shared" ca="1" si="10"/>
        <v>Serviço</v>
      </c>
      <c r="O30" s="119" t="str">
        <f t="shared" ca="1" si="11"/>
        <v>1.3.5.</v>
      </c>
      <c r="P30" s="120" t="s">
        <v>474</v>
      </c>
      <c r="Q30" s="121" t="s">
        <v>479</v>
      </c>
      <c r="R30" s="122" t="str">
        <f ca="1">IF($C30="S",REFERENCIA.Descricao,"(digite a descrição aqui)")</f>
        <v>Transporte com caminhão basculante de 10 m³ - rodovia pavimentada</v>
      </c>
      <c r="S30" s="123" t="str">
        <f ca="1">REFERENCIA.Unidade</f>
        <v>tkm</v>
      </c>
      <c r="T30" s="124">
        <f ca="1">OFFSET(CÁLCULO!H$15,ROW($T30)-ROW(T$15),0)</f>
        <v>5545.23</v>
      </c>
      <c r="U30" s="125">
        <f t="shared" ca="1" si="17"/>
        <v>0.82</v>
      </c>
      <c r="V30" s="126" t="s">
        <v>191</v>
      </c>
      <c r="W30" s="124">
        <f ca="1">IF($C30="S",ROUND(IF(TIPOORCAMENTO="Proposto",ORÇAMENTO.CustoUnitario*(1+$AH30),ORÇAMENTO.PrecoUnitarioLicitado),15-13*$AF$10),0)</f>
        <v>0.94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5212.5200000000004</v>
      </c>
      <c r="Y30" s="128" t="s">
        <v>245</v>
      </c>
      <c r="Z30" t="str">
        <f t="shared" ca="1" si="12"/>
        <v>RA</v>
      </c>
      <c r="AA30" s="129">
        <f ca="1">IF($C30="S",IF($Z30="CP",$X30,IF($Z30="RA",(($X30)*QCI!$AA$3),0)),SomaAgrup)</f>
        <v>5212.5200000000004</v>
      </c>
      <c r="AB30" s="130">
        <f t="shared" ca="1" si="13"/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SICRO 5914389</v>
      </c>
      <c r="AF30" s="13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21855</v>
      </c>
      <c r="AG30" s="498">
        <f ca="1">ROUND(IF(DESONERACAO="sim",REFERENCIA.Desonerado,REFERENCIA.NaoDesonerado),2)</f>
        <v>0.82</v>
      </c>
      <c r="AH30" s="499">
        <f t="shared" ca="1" si="14"/>
        <v>0.15</v>
      </c>
      <c r="AJ30" s="501">
        <v>5545.23</v>
      </c>
      <c r="AL30" s="527"/>
      <c r="AM30" s="381">
        <f t="shared" ca="1" si="0"/>
        <v>5212.5200000000004</v>
      </c>
      <c r="AN30" s="566">
        <f t="shared" ca="1" si="15"/>
        <v>0.94</v>
      </c>
    </row>
    <row r="31" spans="1:40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1</v>
      </c>
      <c r="F31">
        <f t="shared" ca="1" si="5"/>
        <v>3</v>
      </c>
      <c r="G31">
        <f t="shared" ca="1" si="6"/>
        <v>0</v>
      </c>
      <c r="H31">
        <f t="shared" ca="1" si="7"/>
        <v>0</v>
      </c>
      <c r="I31">
        <f t="shared" ca="1" si="8"/>
        <v>6</v>
      </c>
      <c r="J31">
        <f ca="1">IF(OR($C31="S",$C31=0),0,MATCH(0,OFFSET($D31,1,$C31,ROW($C$119)-ROW($C31)),0))</f>
        <v>0</v>
      </c>
      <c r="K31">
        <f ca="1">IF(OR($C31="S",$C31=0),0,MATCH(OFFSET($D31,0,$C31)+IF($C31&lt;&gt;1,1,COUNTIF(QCI!$A$13:$A$24,ORÇAMENTO!E31)),OFFSET($D31,1,$C31,ROW($C$119)-ROW($C31)),0))</f>
        <v>0</v>
      </c>
      <c r="L31" s="116" t="str">
        <f t="shared" ca="1" si="9"/>
        <v>F</v>
      </c>
      <c r="M31" s="117" t="s">
        <v>199</v>
      </c>
      <c r="N31" s="118" t="str">
        <f t="shared" ca="1" si="10"/>
        <v>Serviço</v>
      </c>
      <c r="O31" s="119" t="str">
        <f t="shared" ca="1" si="11"/>
        <v>1.3.6.</v>
      </c>
      <c r="P31" s="120" t="s">
        <v>450</v>
      </c>
      <c r="Q31" s="121" t="s">
        <v>452</v>
      </c>
      <c r="R31" s="122" t="str">
        <f ca="1">IF($C31="S",REFERENCIA.Descricao,"(digite a descrição aqui)")</f>
        <v>BOCA DE LOBO COM GRADE 80X80 (INTERNA) - TIPO BL</v>
      </c>
      <c r="S31" s="123" t="str">
        <f ca="1">REFERENCIA.Unidade</f>
        <v>UNID.</v>
      </c>
      <c r="T31" s="124">
        <f ca="1">OFFSET(CÁLCULO!H$15,ROW($T31)-ROW(T$15),0)</f>
        <v>4</v>
      </c>
      <c r="U31" s="125">
        <f t="shared" ca="1" si="17"/>
        <v>1437.9</v>
      </c>
      <c r="V31" s="126" t="s">
        <v>156</v>
      </c>
      <c r="W31" s="124">
        <f ca="1">IF($C31="S",ROUND(IF(TIPOORCAMENTO="Proposto",ORÇAMENTO.CustoUnitario*(1+$AH31),ORÇAMENTO.PrecoUnitarioLicitado),15-13*$AF$10),0)</f>
        <v>1774.08</v>
      </c>
      <c r="X31" s="127">
        <f ca="1">IF($C31="S",IF(Import.TipoArredondamento&lt;&gt;"TransfereGOV",VTOTAL1,SUM(OFFSET(CÁLCULO!$AA$15,ROW($X31)-ROW($X$15),1):OFFSET(CÁLCULO!$AL$15,ROW($X31)-ROW($X$15),-1))),IF($C31=0,0,ROUND(SomaAgrup,15-13*$AF$11)))</f>
        <v>7096.32</v>
      </c>
      <c r="Y31" s="128" t="s">
        <v>245</v>
      </c>
      <c r="Z31" t="str">
        <f t="shared" ca="1" si="12"/>
        <v>RA</v>
      </c>
      <c r="AA31" s="129">
        <f ca="1">IF($C31="S",IF($Z31="CP",$X31,IF($Z31="RA",(($X31)*QCI!$AA$3),0)),SomaAgrup)</f>
        <v>7096.32</v>
      </c>
      <c r="AB31" s="130">
        <f t="shared" ca="1" si="13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Composição 2</v>
      </c>
      <c r="AF31" s="13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4</v>
      </c>
      <c r="AG31" s="498">
        <f ca="1">ROUND(IF(DESONERACAO="sim",REFERENCIA.Desonerado,REFERENCIA.NaoDesonerado),2)</f>
        <v>1437.9</v>
      </c>
      <c r="AH31" s="499">
        <f t="shared" ca="1" si="14"/>
        <v>0.23380000000000001</v>
      </c>
      <c r="AJ31" s="501">
        <v>4</v>
      </c>
      <c r="AL31" s="527"/>
      <c r="AM31" s="381">
        <f t="shared" ca="1" si="0"/>
        <v>7096.32</v>
      </c>
      <c r="AN31" s="566">
        <f t="shared" ca="1" si="15"/>
        <v>1774.08</v>
      </c>
    </row>
    <row r="32" spans="1:40" ht="25.5" x14ac:dyDescent="0.2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1</v>
      </c>
      <c r="F32">
        <f t="shared" ca="1" si="5"/>
        <v>3</v>
      </c>
      <c r="G32">
        <f t="shared" ca="1" si="6"/>
        <v>0</v>
      </c>
      <c r="H32">
        <f t="shared" ca="1" si="7"/>
        <v>0</v>
      </c>
      <c r="I32">
        <f t="shared" ca="1" si="8"/>
        <v>7</v>
      </c>
      <c r="J32">
        <f ca="1">IF(OR($C32="S",$C32=0),0,MATCH(0,OFFSET($D32,1,$C32,ROW($C$119)-ROW($C32)),0))</f>
        <v>0</v>
      </c>
      <c r="K32">
        <f ca="1">IF(OR($C32="S",$C32=0),0,MATCH(OFFSET($D32,0,$C32)+IF($C32&lt;&gt;1,1,COUNTIF(QCI!$A$13:$A$24,ORÇAMENTO!E32)),OFFSET($D32,1,$C32,ROW($C$119)-ROW($C32)),0))</f>
        <v>0</v>
      </c>
      <c r="L32" s="116" t="str">
        <f t="shared" ca="1" si="9"/>
        <v>F</v>
      </c>
      <c r="M32" s="117" t="s">
        <v>199</v>
      </c>
      <c r="N32" s="118" t="str">
        <f t="shared" ca="1" si="10"/>
        <v>Serviço</v>
      </c>
      <c r="O32" s="119" t="str">
        <f t="shared" ca="1" si="11"/>
        <v>1.3.7.</v>
      </c>
      <c r="P32" s="120" t="s">
        <v>450</v>
      </c>
      <c r="Q32" s="121" t="s">
        <v>451</v>
      </c>
      <c r="R32" s="122" t="str">
        <f ca="1">IF($C32="S",REFERENCIA.Descricao,"(digite a descrição aqui)")</f>
        <v>AJUSTE DE BOCA DE LOBO EXISTENTE PARA CONEXÃO A NOVA REDE</v>
      </c>
      <c r="S32" s="123" t="str">
        <f ca="1">REFERENCIA.Unidade</f>
        <v>UNID.</v>
      </c>
      <c r="T32" s="124">
        <f ca="1">OFFSET(CÁLCULO!H$15,ROW($T32)-ROW(T$15),0)</f>
        <v>2</v>
      </c>
      <c r="U32" s="125">
        <f t="shared" ca="1" si="17"/>
        <v>206.88</v>
      </c>
      <c r="V32" s="126" t="s">
        <v>156</v>
      </c>
      <c r="W32" s="124">
        <f ca="1">IF($C32="S",ROUND(IF(TIPOORCAMENTO="Proposto",ORÇAMENTO.CustoUnitario*(1+$AH32),ORÇAMENTO.PrecoUnitarioLicitado),15-13*$AF$10),0)</f>
        <v>255.25</v>
      </c>
      <c r="X32" s="127">
        <f ca="1">IF($C32="S",IF(Import.TipoArredondamento&lt;&gt;"TransfereGOV",VTOTAL1,SUM(OFFSET(CÁLCULO!$AA$15,ROW($X32)-ROW($X$15),1):OFFSET(CÁLCULO!$AL$15,ROW($X32)-ROW($X$15),-1))),IF($C32=0,0,ROUND(SomaAgrup,15-13*$AF$11)))</f>
        <v>510.5</v>
      </c>
      <c r="Y32" s="128" t="s">
        <v>245</v>
      </c>
      <c r="Z32" t="str">
        <f t="shared" ca="1" si="12"/>
        <v>RA</v>
      </c>
      <c r="AA32" s="129">
        <f ca="1">IF($C32="S",IF($Z32="CP",$X32,IF($Z32="RA",(($X32)*QCI!$AA$3),0)),SomaAgrup)</f>
        <v>510.5</v>
      </c>
      <c r="AB32" s="130">
        <f t="shared" ca="1" si="13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" t="str">
        <f ca="1">IF(AND($C32="S",ORÇAMENTO.CodBarra&lt;&gt;""),IF(ORÇAMENTO.Fonte="",ORÇAMENTO.CodBarra,CONCATENATE(ORÇAMENTO.Fonte," ",ORÇAMENTO.CodBarra)))</f>
        <v>Composição 3</v>
      </c>
      <c r="AF32" s="13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5</v>
      </c>
      <c r="AG32" s="498">
        <f ca="1">ROUND(IF(DESONERACAO="sim",REFERENCIA.Desonerado,REFERENCIA.NaoDesonerado),2)</f>
        <v>206.88</v>
      </c>
      <c r="AH32" s="499">
        <f t="shared" ca="1" si="14"/>
        <v>0.23380000000000001</v>
      </c>
      <c r="AJ32" s="501">
        <v>2</v>
      </c>
      <c r="AL32" s="527"/>
      <c r="AM32" s="381">
        <f t="shared" ca="1" si="0"/>
        <v>510.5</v>
      </c>
      <c r="AN32" s="566">
        <f t="shared" ca="1" si="15"/>
        <v>255.25</v>
      </c>
    </row>
    <row r="33" spans="1:40" ht="25.5" x14ac:dyDescent="0.2">
      <c r="A33" t="str">
        <f>CHOOSE(1+LOG(1+2*(ORÇAMENTO.Nivel="Meta")+4*(ORÇAMENTO.Nivel="Nível 2")+8*(ORÇAMENTO.Nivel="Nível 3")+16*(ORÇAMENTO.Nivel="Nível 4")+32*(ORÇAMENTO.Nivel="Serviço"),2),0,1,2,3,4,"S")</f>
        <v>S</v>
      </c>
      <c r="B33">
        <f ca="1">IF(OR(C33="s",C33=0),OFFSET(B33,-1,0),C33)</f>
        <v>2</v>
      </c>
      <c r="C33" t="str">
        <f ca="1">IF(OFFSET(C33,-1,0)="L",1,IF(OFFSET(C33,-1,0)=1,2,IF(OR(A33="s",A33=0),"S",IF(AND(OFFSET(C33,-1,0)=2,A33=4),3,IF(AND(OR(OFFSET(C33,-1,0)="s",OFFSET(C33,-1,0)=0),A33&lt;&gt;"s",A33&gt;OFFSET(B33,-1,0)),OFFSET(B33,-1,0),A33)))))</f>
        <v>S</v>
      </c>
      <c r="D33">
        <f ca="1">IF(OR(C33="S",C33=0),0,IF(ISERROR(K33),J33,SMALL(J33:K33,1)))</f>
        <v>0</v>
      </c>
      <c r="E33">
        <f ca="1">IF($C33=1,OFFSET(E33,-1,0)+MAX(1,COUNTIF(QCI!$A$13:$A$24,OFFSET(ORÇAMENTO!E33,-1,0))),OFFSET(E33,-1,0))</f>
        <v>1</v>
      </c>
      <c r="F33">
        <f ca="1">IF($C33=1,0,IF($C33=2,OFFSET(F33,-1,0)+1,OFFSET(F33,-1,0)))</f>
        <v>3</v>
      </c>
      <c r="G33">
        <f ca="1">IF(AND($C33&lt;=2,$C33&lt;&gt;0),0,IF($C33=3,OFFSET(G33,-1,0)+1,OFFSET(G33,-1,0)))</f>
        <v>0</v>
      </c>
      <c r="H33">
        <f ca="1">IF(AND($C33&lt;=3,$C33&lt;&gt;0),0,IF($C33=4,OFFSET(H33,-1,0)+1,OFFSET(H33,-1,0)))</f>
        <v>0</v>
      </c>
      <c r="I33">
        <f ca="1">IF(AND($C33&lt;=4,$C33&lt;&gt;0),0,IF(AND($C33="S",$X33&gt;0),OFFSET(I33,-1,0)+1,OFFSET(I33,-1,0)))</f>
        <v>8</v>
      </c>
      <c r="J33">
        <f ca="1">IF(OR($C33="S",$C33=0),0,MATCH(0,OFFSET($D33,1,$C33,ROW($C$119)-ROW($C33)),0))</f>
        <v>0</v>
      </c>
      <c r="K33">
        <f ca="1">IF(OR($C33="S",$C33=0),0,MATCH(OFFSET($D33,0,$C33)+IF($C33&lt;&gt;1,1,COUNTIF(QCI!$A$13:$A$24,ORÇAMENTO!E33)),OFFSET($D33,1,$C33,ROW($C$119)-ROW($C33)),0))</f>
        <v>0</v>
      </c>
      <c r="L33" s="116" t="str">
        <f ca="1">IF(OR($X33&gt;0,$C33=1,$C33=2,$C33=3,$C33=4),"F","")</f>
        <v>F</v>
      </c>
      <c r="M33" s="117" t="s">
        <v>199</v>
      </c>
      <c r="N33" s="118" t="str">
        <f ca="1">CHOOSE(1+LOG(1+2*(C33=1)+4*(C33=2)+8*(C33=3)+16*(C33=4)+32*(C33="S"),2),"","Meta","Nível 2","Nível 3","Nível 4","Serviço")</f>
        <v>Serviço</v>
      </c>
      <c r="O33" s="119" t="str">
        <f ca="1">IF(OR($C33=0,$L33=""),"-",CONCATENATE(E33&amp;".",IF(AND($A$5&gt;=2,$C33&gt;=2),F33&amp;".",""),IF(AND($A$5&gt;=3,$C33&gt;=3),G33&amp;".",""),IF(AND($A$5&gt;=4,$C33&gt;=4),H33&amp;".",""),IF($C33="S",I33&amp;".","")))</f>
        <v>1.3.8.</v>
      </c>
      <c r="P33" s="120" t="s">
        <v>450</v>
      </c>
      <c r="Q33" s="121" t="s">
        <v>453</v>
      </c>
      <c r="R33" s="122" t="str">
        <f ca="1">IF($C33="S",REFERENCIA.Descricao,"(digite a descrição aqui)")</f>
        <v>SARJETA DE CONCRETO MOLDADA IN LOCO, CONCRETO USINADO 30X5 CM</v>
      </c>
      <c r="S33" s="123" t="str">
        <f ca="1">REFERENCIA.Unidade</f>
        <v>M</v>
      </c>
      <c r="T33" s="124">
        <f ca="1">OFFSET(CÁLCULO!H$15,ROW($T33)-ROW(T$15),0)</f>
        <v>828</v>
      </c>
      <c r="U33" s="125">
        <f t="shared" ca="1" si="17"/>
        <v>21.53</v>
      </c>
      <c r="V33" s="126" t="s">
        <v>156</v>
      </c>
      <c r="W33" s="124">
        <f ca="1">IF($C33="S",ROUND(IF(TIPOORCAMENTO="Proposto",ORÇAMENTO.CustoUnitario*(1+$AH33),ORÇAMENTO.PrecoUnitarioLicitado),15-13*$AF$10),0)</f>
        <v>26.56</v>
      </c>
      <c r="X33" s="127">
        <f ca="1">IF($C33="S",IF(Import.TipoArredondamento&lt;&gt;"TransfereGOV",VTOTAL1,SUM(OFFSET(CÁLCULO!$AA$15,ROW($X33)-ROW($X$15),1):OFFSET(CÁLCULO!$AL$15,ROW($X33)-ROW($X$15),-1))),IF($C33=0,0,ROUND(SomaAgrup,15-13*$AF$11)))</f>
        <v>21991.68</v>
      </c>
      <c r="Y33" s="128" t="s">
        <v>245</v>
      </c>
      <c r="Z33" t="str">
        <f ca="1">IF(AND($C33="S",$X33&gt;0),IF(ISBLANK($Y33),"RA",LEFT($Y33,2)),"")</f>
        <v>RA</v>
      </c>
      <c r="AA33" s="129">
        <f ca="1">IF($C33="S",IF($Z33="CP",$X33,IF($Z33="RA",(($X33)*QCI!$AA$3),0)),SomaAgrup)</f>
        <v>21991.68</v>
      </c>
      <c r="AB33" s="130">
        <f ca="1">IF($C33="S",IF($Z33="OU",ROUND($X33,2),0),SomaAgrup)</f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" t="str">
        <f ca="1">IF(AND($C33="S",ORÇAMENTO.CodBarra&lt;&gt;""),IF(ORÇAMENTO.Fonte="",ORÇAMENTO.CodBarra,CONCATENATE(ORÇAMENTO.Fonte," ",ORÇAMENTO.CodBarra)))</f>
        <v>Composição 1</v>
      </c>
      <c r="AF33" s="13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3</v>
      </c>
      <c r="AG33" s="498">
        <f ca="1">ROUND(IF(DESONERACAO="sim",REFERENCIA.Desonerado,REFERENCIA.NaoDesonerado),2)</f>
        <v>21.53</v>
      </c>
      <c r="AH33" s="499">
        <f ca="1">ROUND(IF(ISNUMBER(ORÇAMENTO.OpcaoBDI),ORÇAMENTO.OpcaoBDI,IF(LEFT(ORÇAMENTO.OpcaoBDI,3)="BDI",HLOOKUP(ORÇAMENTO.OpcaoBDI,$F$4:$H$5,2,FALSE),0)),15-11*$AF$9)</f>
        <v>0.23380000000000001</v>
      </c>
      <c r="AJ33" s="501">
        <v>828</v>
      </c>
      <c r="AL33" s="527"/>
      <c r="AM33" s="381">
        <f t="shared" ca="1" si="0"/>
        <v>21991.68</v>
      </c>
      <c r="AN33" s="566">
        <f ca="1">ROUND(ORÇAMENTO.CustoUnitario*(1+$AH33),2)</f>
        <v>26.56</v>
      </c>
    </row>
    <row r="34" spans="1:40" x14ac:dyDescent="0.2">
      <c r="A34">
        <f t="shared" si="1"/>
        <v>2</v>
      </c>
      <c r="B34">
        <f t="shared" ca="1" si="2"/>
        <v>2</v>
      </c>
      <c r="C34">
        <f t="shared" ca="1" si="3"/>
        <v>2</v>
      </c>
      <c r="D34">
        <f t="shared" ca="1" si="4"/>
        <v>12</v>
      </c>
      <c r="E34">
        <f ca="1">IF($C34=1,OFFSET(E34,-1,0)+MAX(1,COUNTIF(QCI!$A$13:$A$24,OFFSET(ORÇAMENTO!E34,-1,0))),OFFSET(E34,-1,0))</f>
        <v>1</v>
      </c>
      <c r="F34">
        <f t="shared" ca="1" si="5"/>
        <v>4</v>
      </c>
      <c r="G34">
        <f t="shared" ca="1" si="6"/>
        <v>0</v>
      </c>
      <c r="H34">
        <f t="shared" ca="1" si="7"/>
        <v>0</v>
      </c>
      <c r="I34">
        <f t="shared" ca="1" si="8"/>
        <v>0</v>
      </c>
      <c r="J34">
        <f ca="1">IF(OR($C34="S",$C34=0),0,MATCH(0,OFFSET($D34,1,$C34,ROW($C$119)-ROW($C34)),0))</f>
        <v>21</v>
      </c>
      <c r="K34">
        <f ca="1">IF(OR($C34="S",$C34=0),0,MATCH(OFFSET($D34,0,$C34)+IF($C34&lt;&gt;1,1,COUNTIF(QCI!$A$13:$A$24,ORÇAMENTO!E34)),OFFSET($D34,1,$C34,ROW($C$119)-ROW($C34)),0))</f>
        <v>12</v>
      </c>
      <c r="L34" s="116" t="str">
        <f t="shared" ca="1" si="9"/>
        <v>F</v>
      </c>
      <c r="M34" s="117" t="s">
        <v>196</v>
      </c>
      <c r="N34" s="118" t="str">
        <f t="shared" ca="1" si="10"/>
        <v>Nível 2</v>
      </c>
      <c r="O34" s="119" t="str">
        <f t="shared" ca="1" si="11"/>
        <v>1.4.</v>
      </c>
      <c r="P34" s="120" t="s">
        <v>247</v>
      </c>
      <c r="Q34" s="121"/>
      <c r="R34" s="122" t="s">
        <v>454</v>
      </c>
      <c r="S34" s="123" t="str">
        <f ca="1">REFERENCIA.Unidade</f>
        <v>-</v>
      </c>
      <c r="T34" s="124">
        <f ca="1">OFFSET(CÁLCULO!H$15,ROW($T34)-ROW(T$15),0)</f>
        <v>0</v>
      </c>
      <c r="U34" s="125">
        <f t="shared" ca="1" si="17"/>
        <v>0</v>
      </c>
      <c r="V34" s="126" t="s">
        <v>156</v>
      </c>
      <c r="W34" s="124">
        <f ca="1">IF($C34="S",ROUND(IF(TIPOORCAMENTO="Proposto",ORÇAMENTO.CustoUnitario*(1+$AH34),ORÇAMENTO.PrecoUnitarioLicitado),15-13*$AF$10),0)</f>
        <v>0</v>
      </c>
      <c r="X34" s="127">
        <f ca="1">IF($C34="S",IF(Import.TipoArredondamento&lt;&gt;"TransfereGOV",VTOTAL1,SUM(OFFSET(CÁLCULO!$AA$15,ROW($X34)-ROW($X$15),1):OFFSET(CÁLCULO!$AL$15,ROW($X34)-ROW($X$15),-1))),IF($C34=0,0,ROUND(SomaAgrup,15-13*$AF$11)))</f>
        <v>440790.57</v>
      </c>
      <c r="Y34" s="128" t="s">
        <v>245</v>
      </c>
      <c r="Z34" t="str">
        <f t="shared" ca="1" si="12"/>
        <v/>
      </c>
      <c r="AA34" s="129">
        <f ca="1">IF($C34="S",IF($Z34="CP",$X34,IF($Z34="RA",(($X34)*QCI!$AA$3),0)),SomaAgrup)</f>
        <v>440790.56999999995</v>
      </c>
      <c r="AB34" s="130">
        <f t="shared" ca="1" si="13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>
        <f ca="1">IF(C34&lt;=CRONO.NivelExibicao,MAX($AD$15:OFFSET(AD34,-1,0))+IF($C34&lt;&gt;1,1,MAX(1,COUNTIF(QCI!$A$13:$A$24,OFFSET($E34,-1,0)))),"")</f>
        <v>5</v>
      </c>
      <c r="AE34" s="7" t="b">
        <f ca="1">IF(AND($C34="S",ORÇAMENTO.CodBarra&lt;&gt;""),IF(ORÇAMENTO.Fonte="",ORÇAMENTO.CodBarra,CONCATENATE(ORÇAMENTO.Fonte," ",ORÇAMENTO.CodBarra)))</f>
        <v>0</v>
      </c>
      <c r="AF34" s="13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(Sem Código)</v>
      </c>
      <c r="AG34" s="498">
        <f ca="1">ROUND(IF(DESONERACAO="sim",REFERENCIA.Desonerado,REFERENCIA.NaoDesonerado),2)</f>
        <v>0</v>
      </c>
      <c r="AH34" s="499">
        <f t="shared" ca="1" si="14"/>
        <v>0.23380000000000001</v>
      </c>
      <c r="AJ34" s="501"/>
      <c r="AL34" s="527"/>
      <c r="AM34" s="381">
        <f t="shared" ca="1" si="0"/>
        <v>440790.57</v>
      </c>
      <c r="AN34" s="566">
        <f t="shared" ca="1" si="15"/>
        <v>0</v>
      </c>
    </row>
    <row r="35" spans="1:40" ht="38.25" x14ac:dyDescent="0.2">
      <c r="A35" t="str">
        <f>CHOOSE(1+LOG(1+2*(ORÇAMENTO.Nivel="Meta")+4*(ORÇAMENTO.Nivel="Nível 2")+8*(ORÇAMENTO.Nivel="Nível 3")+16*(ORÇAMENTO.Nivel="Nível 4")+32*(ORÇAMENTO.Nivel="Serviço"),2),0,1,2,3,4,"S")</f>
        <v>S</v>
      </c>
      <c r="B35">
        <f ca="1">IF(OR(C35="s",C35=0),OFFSET(B35,-1,0),C35)</f>
        <v>2</v>
      </c>
      <c r="C35" t="str">
        <f ca="1">IF(OFFSET(C35,-1,0)="L",1,IF(OFFSET(C35,-1,0)=1,2,IF(OR(A35="s",A35=0),"S",IF(AND(OFFSET(C35,-1,0)=2,A35=4),3,IF(AND(OR(OFFSET(C35,-1,0)="s",OFFSET(C35,-1,0)=0),A35&lt;&gt;"s",A35&gt;OFFSET(B35,-1,0)),OFFSET(B35,-1,0),A35)))))</f>
        <v>S</v>
      </c>
      <c r="D35">
        <f ca="1">IF(OR(C35="S",C35=0),0,IF(ISERROR(K35),J35,SMALL(J35:K35,1)))</f>
        <v>0</v>
      </c>
      <c r="E35">
        <f ca="1">IF($C35=1,OFFSET(E35,-1,0)+MAX(1,COUNTIF(QCI!$A$13:$A$24,OFFSET(ORÇAMENTO!E35,-1,0))),OFFSET(E35,-1,0))</f>
        <v>1</v>
      </c>
      <c r="F35">
        <f ca="1">IF($C35=1,0,IF($C35=2,OFFSET(F35,-1,0)+1,OFFSET(F35,-1,0)))</f>
        <v>4</v>
      </c>
      <c r="G35">
        <f ca="1">IF(AND($C35&lt;=2,$C35&lt;&gt;0),0,IF($C35=3,OFFSET(G35,-1,0)+1,OFFSET(G35,-1,0)))</f>
        <v>0</v>
      </c>
      <c r="H35">
        <f ca="1">IF(AND($C35&lt;=3,$C35&lt;&gt;0),0,IF($C35=4,OFFSET(H35,-1,0)+1,OFFSET(H35,-1,0)))</f>
        <v>0</v>
      </c>
      <c r="I35">
        <f ca="1">IF(AND($C35&lt;=4,$C35&lt;&gt;0),0,IF(AND($C35="S",$X35&gt;0),OFFSET(I35,-1,0)+1,OFFSET(I35,-1,0)))</f>
        <v>1</v>
      </c>
      <c r="J35">
        <f ca="1">IF(OR($C35="S",$C35=0),0,MATCH(0,OFFSET($D35,1,$C35,ROW($C$119)-ROW($C35)),0))</f>
        <v>0</v>
      </c>
      <c r="K35">
        <f ca="1">IF(OR($C35="S",$C35=0),0,MATCH(OFFSET($D35,0,$C35)+IF($C35&lt;&gt;1,1,COUNTIF(QCI!$A$13:$A$24,ORÇAMENTO!E35)),OFFSET($D35,1,$C35,ROW($C$119)-ROW($C35)),0))</f>
        <v>0</v>
      </c>
      <c r="L35" s="116" t="str">
        <f ca="1">IF(OR($X35&gt;0,$C35=1,$C35=2,$C35=3,$C35=4),"F","")</f>
        <v>F</v>
      </c>
      <c r="M35" s="117" t="s">
        <v>199</v>
      </c>
      <c r="N35" s="118" t="str">
        <f ca="1">CHOOSE(1+LOG(1+2*(C35=1)+4*(C35=2)+8*(C35=3)+16*(C35=4)+32*(C35="S"),2),"","Meta","Nível 2","Nível 3","Nível 4","Serviço")</f>
        <v>Serviço</v>
      </c>
      <c r="O35" s="119" t="str">
        <f ca="1">IF(OR($C35=0,$L35=""),"-",CONCATENATE(E35&amp;".",IF(AND($A$5&gt;=2,$C35&gt;=2),F35&amp;".",""),IF(AND($A$5&gt;=3,$C35&gt;=3),G35&amp;".",""),IF(AND($A$5&gt;=4,$C35&gt;=4),H35&amp;".",""),IF($C35="S",I35&amp;".","")))</f>
        <v>1.4.1.</v>
      </c>
      <c r="P35" s="120" t="s">
        <v>474</v>
      </c>
      <c r="Q35" s="121" t="s">
        <v>477</v>
      </c>
      <c r="R35" s="122" t="str">
        <f ca="1">IF($C35="S",REFERENCIA.Descricao,"(digite a descrição aqui)")</f>
        <v>Escavação, carga e transporte de material de 1ª categoria - DMT de 1.000 a 1.200 m - caminho de serviço pavimentado - com escavadeira e caminhão basculante de 14 m³</v>
      </c>
      <c r="S35" s="123" t="str">
        <f ca="1">REFERENCIA.Unidade</f>
        <v>m³</v>
      </c>
      <c r="T35" s="124">
        <f ca="1">OFFSET(CÁLCULO!H$15,ROW($T35)-ROW(T$15),0)</f>
        <v>20</v>
      </c>
      <c r="U35" s="125">
        <f t="shared" ca="1" si="17"/>
        <v>7.82</v>
      </c>
      <c r="V35" s="126" t="s">
        <v>156</v>
      </c>
      <c r="W35" s="124">
        <f ca="1">IF($C35="S",ROUND(IF(TIPOORCAMENTO="Proposto",ORÇAMENTO.CustoUnitario*(1+$AH35),ORÇAMENTO.PrecoUnitarioLicitado),15-13*$AF$10),0)</f>
        <v>9.65</v>
      </c>
      <c r="X35" s="127">
        <f ca="1">IF($C35="S",IF(Import.TipoArredondamento&lt;&gt;"TransfereGOV",VTOTAL1,SUM(OFFSET(CÁLCULO!$AA$15,ROW($X35)-ROW($X$15),1):OFFSET(CÁLCULO!$AL$15,ROW($X35)-ROW($X$15),-1))),IF($C35=0,0,ROUND(SomaAgrup,15-13*$AF$11)))</f>
        <v>193</v>
      </c>
      <c r="Y35" s="128" t="s">
        <v>245</v>
      </c>
      <c r="Z35" t="str">
        <f ca="1">IF(AND($C35="S",$X35&gt;0),IF(ISBLANK($Y35),"RA",LEFT($Y35,2)),"")</f>
        <v>RA</v>
      </c>
      <c r="AA35" s="129">
        <f ca="1">IF($C35="S",IF($Z35="CP",$X35,IF($Z35="RA",(($X35)*QCI!$AA$3),0)),SomaAgrup)</f>
        <v>193</v>
      </c>
      <c r="AB35" s="130">
        <f ca="1">IF($C35="S",IF($Z35="OU",ROUND($X35,2),0),SomaAgrup)</f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SICRO 5502166</v>
      </c>
      <c r="AF35" s="13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21433</v>
      </c>
      <c r="AG35" s="498">
        <f ca="1">ROUND(IF(DESONERACAO="sim",REFERENCIA.Desonerado,REFERENCIA.NaoDesonerado),2)</f>
        <v>7.82</v>
      </c>
      <c r="AH35" s="499">
        <f ca="1">ROUND(IF(ISNUMBER(ORÇAMENTO.OpcaoBDI),ORÇAMENTO.OpcaoBDI,IF(LEFT(ORÇAMENTO.OpcaoBDI,3)="BDI",HLOOKUP(ORÇAMENTO.OpcaoBDI,$F$4:$H$5,2,FALSE),0)),15-11*$AF$9)</f>
        <v>0.23380000000000001</v>
      </c>
      <c r="AJ35" s="501">
        <v>20</v>
      </c>
      <c r="AL35" s="527"/>
      <c r="AM35" s="381">
        <f t="shared" ca="1" si="0"/>
        <v>193</v>
      </c>
      <c r="AN35" s="566">
        <f ca="1">ROUND(ORÇAMENTO.CustoUnitario*(1+$AH35),2)</f>
        <v>9.65</v>
      </c>
    </row>
    <row r="36" spans="1:40" ht="25.5" x14ac:dyDescent="0.2">
      <c r="A36" t="str">
        <f>CHOOSE(1+LOG(1+2*(ORÇAMENTO.Nivel="Meta")+4*(ORÇAMENTO.Nivel="Nível 2")+8*(ORÇAMENTO.Nivel="Nível 3")+16*(ORÇAMENTO.Nivel="Nível 4")+32*(ORÇAMENTO.Nivel="Serviço"),2),0,1,2,3,4,"S")</f>
        <v>S</v>
      </c>
      <c r="B36">
        <f ca="1">IF(OR(C36="s",C36=0),OFFSET(B36,-1,0),C36)</f>
        <v>2</v>
      </c>
      <c r="C36" t="str">
        <f ca="1">IF(OFFSET(C36,-1,0)="L",1,IF(OFFSET(C36,-1,0)=1,2,IF(OR(A36="s",A36=0),"S",IF(AND(OFFSET(C36,-1,0)=2,A36=4),3,IF(AND(OR(OFFSET(C36,-1,0)="s",OFFSET(C36,-1,0)=0),A36&lt;&gt;"s",A36&gt;OFFSET(B36,-1,0)),OFFSET(B36,-1,0),A36)))))</f>
        <v>S</v>
      </c>
      <c r="D36">
        <f ca="1">IF(OR(C36="S",C36=0),0,IF(ISERROR(K36),J36,SMALL(J36:K36,1)))</f>
        <v>0</v>
      </c>
      <c r="E36">
        <f ca="1">IF($C36=1,OFFSET(E36,-1,0)+MAX(1,COUNTIF(QCI!$A$13:$A$24,OFFSET(ORÇAMENTO!E36,-1,0))),OFFSET(E36,-1,0))</f>
        <v>1</v>
      </c>
      <c r="F36">
        <f ca="1">IF($C36=1,0,IF($C36=2,OFFSET(F36,-1,0)+1,OFFSET(F36,-1,0)))</f>
        <v>4</v>
      </c>
      <c r="G36">
        <f ca="1">IF(AND($C36&lt;=2,$C36&lt;&gt;0),0,IF($C36=3,OFFSET(G36,-1,0)+1,OFFSET(G36,-1,0)))</f>
        <v>0</v>
      </c>
      <c r="H36">
        <f ca="1">IF(AND($C36&lt;=3,$C36&lt;&gt;0),0,IF($C36=4,OFFSET(H36,-1,0)+1,OFFSET(H36,-1,0)))</f>
        <v>0</v>
      </c>
      <c r="I36">
        <f ca="1">IF(AND($C36&lt;=4,$C36&lt;&gt;0),0,IF(AND($C36="S",$X36&gt;0),OFFSET(I36,-1,0)+1,OFFSET(I36,-1,0)))</f>
        <v>2</v>
      </c>
      <c r="J36">
        <f ca="1">IF(OR($C36="S",$C36=0),0,MATCH(0,OFFSET($D36,1,$C36,ROW($C$119)-ROW($C36)),0))</f>
        <v>0</v>
      </c>
      <c r="K36">
        <f ca="1">IF(OR($C36="S",$C36=0),0,MATCH(OFFSET($D36,0,$C36)+IF($C36&lt;&gt;1,1,COUNTIF(QCI!$A$13:$A$24,ORÇAMENTO!E36)),OFFSET($D36,1,$C36,ROW($C$119)-ROW($C36)),0))</f>
        <v>0</v>
      </c>
      <c r="L36" s="116" t="str">
        <f ca="1">IF(OR($X36&gt;0,$C36=1,$C36=2,$C36=3,$C36=4),"F","")</f>
        <v>F</v>
      </c>
      <c r="M36" s="117" t="s">
        <v>199</v>
      </c>
      <c r="N36" s="118" t="str">
        <f ca="1">CHOOSE(1+LOG(1+2*(C36=1)+4*(C36=2)+8*(C36=3)+16*(C36=4)+32*(C36="S"),2),"","Meta","Nível 2","Nível 3","Nível 4","Serviço")</f>
        <v>Serviço</v>
      </c>
      <c r="O36" s="119" t="str">
        <f ca="1">IF(OR($C36=0,$L36=""),"-",CONCATENATE(E36&amp;".",IF(AND($A$5&gt;=2,$C36&gt;=2),F36&amp;".",""),IF(AND($A$5&gt;=3,$C36&gt;=3),G36&amp;".",""),IF(AND($A$5&gt;=4,$C36&gt;=4),H36&amp;".",""),IF($C36="S",I36&amp;".","")))</f>
        <v>1.4.2.</v>
      </c>
      <c r="P36" s="120" t="s">
        <v>474</v>
      </c>
      <c r="Q36" s="121" t="s">
        <v>480</v>
      </c>
      <c r="R36" s="122" t="str">
        <f ca="1">IF($C36="S",REFERENCIA.Descricao,"(digite a descrição aqui)")</f>
        <v>Base ou sub-base de brita graduada com brita comercial - 100% Proctor modificado</v>
      </c>
      <c r="S36" s="123" t="str">
        <f ca="1">REFERENCIA.Unidade</f>
        <v>m³</v>
      </c>
      <c r="T36" s="124">
        <f ca="1">OFFSET(CÁLCULO!H$15,ROW($T36)-ROW(T$15),0)</f>
        <v>40</v>
      </c>
      <c r="U36" s="125">
        <f t="shared" ca="1" si="17"/>
        <v>237.49</v>
      </c>
      <c r="V36" s="126" t="s">
        <v>156</v>
      </c>
      <c r="W36" s="124">
        <f ca="1">IF($C36="S",ROUND(IF(TIPOORCAMENTO="Proposto",ORÇAMENTO.CustoUnitario*(1+$AH36),ORÇAMENTO.PrecoUnitarioLicitado),15-13*$AF$10),0)</f>
        <v>293.02</v>
      </c>
      <c r="X36" s="127">
        <f ca="1">IF($C36="S",IF(Import.TipoArredondamento&lt;&gt;"TransfereGOV",VTOTAL1,SUM(OFFSET(CÁLCULO!$AA$15,ROW($X36)-ROW($X$15),1):OFFSET(CÁLCULO!$AL$15,ROW($X36)-ROW($X$15),-1))),IF($C36=0,0,ROUND(SomaAgrup,15-13*$AF$11)))</f>
        <v>11720.8</v>
      </c>
      <c r="Y36" s="128" t="s">
        <v>245</v>
      </c>
      <c r="Z36" t="str">
        <f ca="1">IF(AND($C36="S",$X36&gt;0),IF(ISBLANK($Y36),"RA",LEFT($Y36,2)),"")</f>
        <v>RA</v>
      </c>
      <c r="AA36" s="129">
        <f ca="1">IF($C36="S",IF($Z36="CP",$X36,IF($Z36="RA",(($X36)*QCI!$AA$3),0)),SomaAgrup)</f>
        <v>11720.8</v>
      </c>
      <c r="AB36" s="130">
        <f ca="1">IF($C36="S",IF($Z36="OU",ROUND($X36,2),0),SomaAgrup)</f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SICRO 4011276</v>
      </c>
      <c r="AF36" s="13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20318</v>
      </c>
      <c r="AG36" s="498">
        <f ca="1">ROUND(IF(DESONERACAO="sim",REFERENCIA.Desonerado,REFERENCIA.NaoDesonerado),2)</f>
        <v>237.49</v>
      </c>
      <c r="AH36" s="499">
        <f ca="1">ROUND(IF(ISNUMBER(ORÇAMENTO.OpcaoBDI),ORÇAMENTO.OpcaoBDI,IF(LEFT(ORÇAMENTO.OpcaoBDI,3)="BDI",HLOOKUP(ORÇAMENTO.OpcaoBDI,$F$4:$H$5,2,FALSE),0)),15-11*$AF$9)</f>
        <v>0.23380000000000001</v>
      </c>
      <c r="AJ36" s="501">
        <v>40</v>
      </c>
      <c r="AL36" s="527"/>
      <c r="AM36" s="381">
        <f t="shared" ca="1" si="0"/>
        <v>11720.8</v>
      </c>
      <c r="AN36" s="566">
        <f ca="1">ROUND(ORÇAMENTO.CustoUnitario*(1+$AH36),2)</f>
        <v>293.02</v>
      </c>
    </row>
    <row r="37" spans="1:40" x14ac:dyDescent="0.2">
      <c r="A37" t="str">
        <f>CHOOSE(1+LOG(1+2*(ORÇAMENTO.Nivel="Meta")+4*(ORÇAMENTO.Nivel="Nível 2")+8*(ORÇAMENTO.Nivel="Nível 3")+16*(ORÇAMENTO.Nivel="Nível 4")+32*(ORÇAMENTO.Nivel="Serviço"),2),0,1,2,3,4,"S")</f>
        <v>S</v>
      </c>
      <c r="B37">
        <f ca="1">IF(OR(C37="s",C37=0),OFFSET(B37,-1,0),C37)</f>
        <v>2</v>
      </c>
      <c r="C37" t="str">
        <f ca="1">IF(OFFSET(C37,-1,0)="L",1,IF(OFFSET(C37,-1,0)=1,2,IF(OR(A37="s",A37=0),"S",IF(AND(OFFSET(C37,-1,0)=2,A37=4),3,IF(AND(OR(OFFSET(C37,-1,0)="s",OFFSET(C37,-1,0)=0),A37&lt;&gt;"s",A37&gt;OFFSET(B37,-1,0)),OFFSET(B37,-1,0),A37)))))</f>
        <v>S</v>
      </c>
      <c r="D37">
        <f ca="1">IF(OR(C37="S",C37=0),0,IF(ISERROR(K37),J37,SMALL(J37:K37,1)))</f>
        <v>0</v>
      </c>
      <c r="E37">
        <f ca="1">IF($C37=1,OFFSET(E37,-1,0)+MAX(1,COUNTIF(QCI!$A$13:$A$24,OFFSET(ORÇAMENTO!E37,-1,0))),OFFSET(E37,-1,0))</f>
        <v>1</v>
      </c>
      <c r="F37">
        <f ca="1">IF($C37=1,0,IF($C37=2,OFFSET(F37,-1,0)+1,OFFSET(F37,-1,0)))</f>
        <v>4</v>
      </c>
      <c r="G37">
        <f ca="1">IF(AND($C37&lt;=2,$C37&lt;&gt;0),0,IF($C37=3,OFFSET(G37,-1,0)+1,OFFSET(G37,-1,0)))</f>
        <v>0</v>
      </c>
      <c r="H37">
        <f ca="1">IF(AND($C37&lt;=3,$C37&lt;&gt;0),0,IF($C37=4,OFFSET(H37,-1,0)+1,OFFSET(H37,-1,0)))</f>
        <v>0</v>
      </c>
      <c r="I37">
        <f ca="1">IF(AND($C37&lt;=4,$C37&lt;&gt;0),0,IF(AND($C37="S",$X37&gt;0),OFFSET(I37,-1,0)+1,OFFSET(I37,-1,0)))</f>
        <v>3</v>
      </c>
      <c r="J37">
        <f ca="1">IF(OR($C37="S",$C37=0),0,MATCH(0,OFFSET($D37,1,$C37,ROW($C$119)-ROW($C37)),0))</f>
        <v>0</v>
      </c>
      <c r="K37">
        <f ca="1">IF(OR($C37="S",$C37=0),0,MATCH(OFFSET($D37,0,$C37)+IF($C37&lt;&gt;1,1,COUNTIF(QCI!$A$13:$A$24,ORÇAMENTO!E37)),OFFSET($D37,1,$C37,ROW($C$119)-ROW($C37)),0))</f>
        <v>0</v>
      </c>
      <c r="L37" s="116" t="str">
        <f ca="1">IF(OR($X37&gt;0,$C37=1,$C37=2,$C37=3,$C37=4),"F","")</f>
        <v>F</v>
      </c>
      <c r="M37" s="117" t="s">
        <v>199</v>
      </c>
      <c r="N37" s="118" t="str">
        <f ca="1">CHOOSE(1+LOG(1+2*(C37=1)+4*(C37=2)+8*(C37=3)+16*(C37=4)+32*(C37="S"),2),"","Meta","Nível 2","Nível 3","Nível 4","Serviço")</f>
        <v>Serviço</v>
      </c>
      <c r="O37" s="119" t="str">
        <f ca="1">IF(OR($C37=0,$L37=""),"-",CONCATENATE(E37&amp;".",IF(AND($A$5&gt;=2,$C37&gt;=2),F37&amp;".",""),IF(AND($A$5&gt;=3,$C37&gt;=3),G37&amp;".",""),IF(AND($A$5&gt;=4,$C37&gt;=4),H37&amp;".",""),IF($C37="S",I37&amp;".","")))</f>
        <v>1.4.3.</v>
      </c>
      <c r="P37" s="120" t="s">
        <v>474</v>
      </c>
      <c r="Q37" s="121" t="s">
        <v>479</v>
      </c>
      <c r="R37" s="122" t="str">
        <f ca="1">IF($C37="S",REFERENCIA.Descricao,"(digite a descrição aqui)")</f>
        <v>Transporte com caminhão basculante de 10 m³ - rodovia pavimentada</v>
      </c>
      <c r="S37" s="123" t="str">
        <f ca="1">REFERENCIA.Unidade</f>
        <v>tkm</v>
      </c>
      <c r="T37" s="124">
        <f ca="1">OFFSET(CÁLCULO!H$15,ROW($T37)-ROW(T$15),0)</f>
        <v>2040</v>
      </c>
      <c r="U37" s="125">
        <f t="shared" ca="1" si="17"/>
        <v>0.82</v>
      </c>
      <c r="V37" s="126" t="s">
        <v>191</v>
      </c>
      <c r="W37" s="124">
        <f ca="1">IF($C37="S",ROUND(IF(TIPOORCAMENTO="Proposto",ORÇAMENTO.CustoUnitario*(1+$AH37),ORÇAMENTO.PrecoUnitarioLicitado),15-13*$AF$10),0)</f>
        <v>0.94</v>
      </c>
      <c r="X37" s="127">
        <f ca="1">IF($C37="S",IF(Import.TipoArredondamento&lt;&gt;"TransfereGOV",VTOTAL1,SUM(OFFSET(CÁLCULO!$AA$15,ROW($X37)-ROW($X$15),1):OFFSET(CÁLCULO!$AL$15,ROW($X37)-ROW($X$15),-1))),IF($C37=0,0,ROUND(SomaAgrup,15-13*$AF$11)))</f>
        <v>1917.6</v>
      </c>
      <c r="Y37" s="128" t="s">
        <v>245</v>
      </c>
      <c r="Z37" t="str">
        <f ca="1">IF(AND($C37="S",$X37&gt;0),IF(ISBLANK($Y37),"RA",LEFT($Y37,2)),"")</f>
        <v>RA</v>
      </c>
      <c r="AA37" s="129">
        <f ca="1">IF($C37="S",IF($Z37="CP",$X37,IF($Z37="RA",(($X37)*QCI!$AA$3),0)),SomaAgrup)</f>
        <v>1917.6</v>
      </c>
      <c r="AB37" s="130">
        <f ca="1">IF($C37="S",IF($Z37="OU",ROUND($X37,2),0),SomaAgrup)</f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" t="str">
        <f ca="1">IF(AND($C37="S",ORÇAMENTO.CodBarra&lt;&gt;""),IF(ORÇAMENTO.Fonte="",ORÇAMENTO.CodBarra,CONCATENATE(ORÇAMENTO.Fonte," ",ORÇAMENTO.CodBarra)))</f>
        <v>SICRO 5914389</v>
      </c>
      <c r="AF37" s="13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21855</v>
      </c>
      <c r="AG37" s="498">
        <f ca="1">ROUND(IF(DESONERACAO="sim",REFERENCIA.Desonerado,REFERENCIA.NaoDesonerado),2)</f>
        <v>0.82</v>
      </c>
      <c r="AH37" s="499">
        <f ca="1">ROUND(IF(ISNUMBER(ORÇAMENTO.OpcaoBDI),ORÇAMENTO.OpcaoBDI,IF(LEFT(ORÇAMENTO.OpcaoBDI,3)="BDI",HLOOKUP(ORÇAMENTO.OpcaoBDI,$F$4:$H$5,2,FALSE),0)),15-11*$AF$9)</f>
        <v>0.15</v>
      </c>
      <c r="AJ37" s="501">
        <v>2040</v>
      </c>
      <c r="AL37" s="527"/>
      <c r="AM37" s="381">
        <f t="shared" ca="1" si="0"/>
        <v>1917.6</v>
      </c>
      <c r="AN37" s="566">
        <f ca="1">ROUND(ORÇAMENTO.CustoUnitario*(1+$AH37),2)</f>
        <v>0.94</v>
      </c>
    </row>
    <row r="38" spans="1:40" ht="25.5" x14ac:dyDescent="0.2">
      <c r="A38" t="str">
        <f>CHOOSE(1+LOG(1+2*(ORÇAMENTO.Nivel="Meta")+4*(ORÇAMENTO.Nivel="Nível 2")+8*(ORÇAMENTO.Nivel="Nível 3")+16*(ORÇAMENTO.Nivel="Nível 4")+32*(ORÇAMENTO.Nivel="Serviço"),2),0,1,2,3,4,"S")</f>
        <v>S</v>
      </c>
      <c r="B38">
        <f ca="1">IF(OR(C38="s",C38=0),OFFSET(B38,-1,0),C38)</f>
        <v>2</v>
      </c>
      <c r="C38" t="str">
        <f ca="1">IF(OFFSET(C38,-1,0)="L",1,IF(OFFSET(C38,-1,0)=1,2,IF(OR(A38="s",A38=0),"S",IF(AND(OFFSET(C38,-1,0)=2,A38=4),3,IF(AND(OR(OFFSET(C38,-1,0)="s",OFFSET(C38,-1,0)=0),A38&lt;&gt;"s",A38&gt;OFFSET(B38,-1,0)),OFFSET(B38,-1,0),A38)))))</f>
        <v>S</v>
      </c>
      <c r="D38">
        <f ca="1">IF(OR(C38="S",C38=0),0,IF(ISERROR(K38),J38,SMALL(J38:K38,1)))</f>
        <v>0</v>
      </c>
      <c r="E38">
        <f ca="1">IF($C38=1,OFFSET(E38,-1,0)+MAX(1,COUNTIF(QCI!$A$13:$A$24,OFFSET(ORÇAMENTO!E38,-1,0))),OFFSET(E38,-1,0))</f>
        <v>1</v>
      </c>
      <c r="F38">
        <f ca="1">IF($C38=1,0,IF($C38=2,OFFSET(F38,-1,0)+1,OFFSET(F38,-1,0)))</f>
        <v>4</v>
      </c>
      <c r="G38">
        <f ca="1">IF(AND($C38&lt;=2,$C38&lt;&gt;0),0,IF($C38=3,OFFSET(G38,-1,0)+1,OFFSET(G38,-1,0)))</f>
        <v>0</v>
      </c>
      <c r="H38">
        <f ca="1">IF(AND($C38&lt;=3,$C38&lt;&gt;0),0,IF($C38=4,OFFSET(H38,-1,0)+1,OFFSET(H38,-1,0)))</f>
        <v>0</v>
      </c>
      <c r="I38">
        <f ca="1">IF(AND($C38&lt;=4,$C38&lt;&gt;0),0,IF(AND($C38="S",$X38&gt;0),OFFSET(I38,-1,0)+1,OFFSET(I38,-1,0)))</f>
        <v>4</v>
      </c>
      <c r="J38">
        <f ca="1">IF(OR($C38="S",$C38=0),0,MATCH(0,OFFSET($D38,1,$C38,ROW($C$119)-ROW($C38)),0))</f>
        <v>0</v>
      </c>
      <c r="K38">
        <f ca="1">IF(OR($C38="S",$C38=0),0,MATCH(OFFSET($D38,0,$C38)+IF($C38&lt;&gt;1,1,COUNTIF(QCI!$A$13:$A$24,ORÇAMENTO!E38)),OFFSET($D38,1,$C38,ROW($C$119)-ROW($C38)),0))</f>
        <v>0</v>
      </c>
      <c r="L38" s="116" t="str">
        <f ca="1">IF(OR($X38&gt;0,$C38=1,$C38=2,$C38=3,$C38=4),"F","")</f>
        <v>F</v>
      </c>
      <c r="M38" s="117" t="s">
        <v>199</v>
      </c>
      <c r="N38" s="118" t="str">
        <f ca="1">CHOOSE(1+LOG(1+2*(C38=1)+4*(C38=2)+8*(C38=3)+16*(C38=4)+32*(C38="S"),2),"","Meta","Nível 2","Nível 3","Nível 4","Serviço")</f>
        <v>Serviço</v>
      </c>
      <c r="O38" s="119" t="str">
        <f ca="1">IF(OR($C38=0,$L38=""),"-",CONCATENATE(E38&amp;".",IF(AND($A$5&gt;=2,$C38&gt;=2),F38&amp;".",""),IF(AND($A$5&gt;=3,$C38&gt;=3),G38&amp;".",""),IF(AND($A$5&gt;=4,$C38&gt;=4),H38&amp;".",""),IF($C38="S",I38&amp;".","")))</f>
        <v>1.4.4.</v>
      </c>
      <c r="P38" s="120" t="s">
        <v>450</v>
      </c>
      <c r="Q38" s="121" t="s">
        <v>497</v>
      </c>
      <c r="R38" s="122" t="str">
        <f ca="1">IF($C38="S",REFERENCIA.Descricao,"(digite a descrição aqui)")</f>
        <v>LIMPEZA E LAVAGEM DE PISTA COM CAMINHÃO PIPA E VASSOURA MECÂNICA</v>
      </c>
      <c r="S38" s="123" t="str">
        <f ca="1">REFERENCIA.Unidade</f>
        <v>M²</v>
      </c>
      <c r="T38" s="124">
        <f ca="1">OFFSET(CÁLCULO!H$15,ROW($T38)-ROW(T$15),0)</f>
        <v>3982.54</v>
      </c>
      <c r="U38" s="125">
        <f t="shared" ca="1" si="17"/>
        <v>1.03</v>
      </c>
      <c r="V38" s="126" t="s">
        <v>156</v>
      </c>
      <c r="W38" s="124">
        <f ca="1">IF($C38="S",ROUND(IF(TIPOORCAMENTO="Proposto",ORÇAMENTO.CustoUnitario*(1+$AH38),ORÇAMENTO.PrecoUnitarioLicitado),15-13*$AF$10),0)</f>
        <v>1.27</v>
      </c>
      <c r="X38" s="127">
        <f ca="1">IF($C38="S",IF(Import.TipoArredondamento&lt;&gt;"TransfereGOV",VTOTAL1,SUM(OFFSET(CÁLCULO!$AA$15,ROW($X38)-ROW($X$15),1):OFFSET(CÁLCULO!$AL$15,ROW($X38)-ROW($X$15),-1))),IF($C38=0,0,ROUND(SomaAgrup,15-13*$AF$11)))</f>
        <v>5057.83</v>
      </c>
      <c r="Y38" s="128" t="s">
        <v>245</v>
      </c>
      <c r="Z38" t="str">
        <f ca="1">IF(AND($C38="S",$X38&gt;0),IF(ISBLANK($Y38),"RA",LEFT($Y38,2)),"")</f>
        <v>RA</v>
      </c>
      <c r="AA38" s="129">
        <f ca="1">IF($C38="S",IF($Z38="CP",$X38,IF($Z38="RA",(($X38)*QCI!$AA$3),0)),SomaAgrup)</f>
        <v>5057.83</v>
      </c>
      <c r="AB38" s="130">
        <f ca="1">IF($C38="S",IF($Z38="OU",ROUND($X38,2),0),SomaAgrup)</f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str">
        <f ca="1">IF(AND($C38="S",ORÇAMENTO.CodBarra&lt;&gt;""),IF(ORÇAMENTO.Fonte="",ORÇAMENTO.CodBarra,CONCATENATE(ORÇAMENTO.Fonte," ",ORÇAMENTO.CodBarra)))</f>
        <v>Composição 6</v>
      </c>
      <c r="AF38" s="13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8</v>
      </c>
      <c r="AG38" s="498">
        <f ca="1">ROUND(IF(DESONERACAO="sim",REFERENCIA.Desonerado,REFERENCIA.NaoDesonerado),2)</f>
        <v>1.03</v>
      </c>
      <c r="AH38" s="499">
        <f ca="1">ROUND(IF(ISNUMBER(ORÇAMENTO.OpcaoBDI),ORÇAMENTO.OpcaoBDI,IF(LEFT(ORÇAMENTO.OpcaoBDI,3)="BDI",HLOOKUP(ORÇAMENTO.OpcaoBDI,$F$4:$H$5,2,FALSE),0)),15-11*$AF$9)</f>
        <v>0.23380000000000001</v>
      </c>
      <c r="AJ38" s="501">
        <v>3982.54</v>
      </c>
      <c r="AL38" s="527"/>
      <c r="AM38" s="381">
        <f t="shared" ca="1" si="0"/>
        <v>5057.83</v>
      </c>
      <c r="AN38" s="566">
        <f ca="1">ROUND(ORÇAMENTO.CustoUnitario*(1+$AH38),2)</f>
        <v>1.27</v>
      </c>
    </row>
    <row r="39" spans="1:40" x14ac:dyDescent="0.2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1</v>
      </c>
      <c r="F39">
        <f t="shared" ca="1" si="5"/>
        <v>4</v>
      </c>
      <c r="G39">
        <f t="shared" ca="1" si="6"/>
        <v>0</v>
      </c>
      <c r="H39">
        <f t="shared" ca="1" si="7"/>
        <v>0</v>
      </c>
      <c r="I39">
        <f t="shared" ca="1" si="8"/>
        <v>5</v>
      </c>
      <c r="J39">
        <f ca="1">IF(OR($C39="S",$C39=0),0,MATCH(0,OFFSET($D39,1,$C39,ROW($C$119)-ROW($C39)),0))</f>
        <v>0</v>
      </c>
      <c r="K39">
        <f ca="1">IF(OR($C39="S",$C39=0),0,MATCH(OFFSET($D39,0,$C39)+IF($C39&lt;&gt;1,1,COUNTIF(QCI!$A$13:$A$24,ORÇAMENTO!E39)),OFFSET($D39,1,$C39,ROW($C$119)-ROW($C39)),0))</f>
        <v>0</v>
      </c>
      <c r="L39" s="116" t="str">
        <f t="shared" ca="1" si="9"/>
        <v>F</v>
      </c>
      <c r="M39" s="117" t="s">
        <v>199</v>
      </c>
      <c r="N39" s="118" t="str">
        <f t="shared" ca="1" si="10"/>
        <v>Serviço</v>
      </c>
      <c r="O39" s="119" t="str">
        <f t="shared" ca="1" si="11"/>
        <v>1.4.5.</v>
      </c>
      <c r="P39" s="120" t="s">
        <v>474</v>
      </c>
      <c r="Q39" s="121" t="s">
        <v>481</v>
      </c>
      <c r="R39" s="122" t="str">
        <f ca="1">IF($C39="S",REFERENCIA.Descricao,"(digite a descrição aqui)")</f>
        <v>Pintura de ligação</v>
      </c>
      <c r="S39" s="123" t="str">
        <f ca="1">REFERENCIA.Unidade</f>
        <v>m²</v>
      </c>
      <c r="T39" s="124">
        <f ca="1">OFFSET(CÁLCULO!H$15,ROW($T39)-ROW(T$15),0)</f>
        <v>7965.08</v>
      </c>
      <c r="U39" s="125">
        <f t="shared" ca="1" si="17"/>
        <v>0.46</v>
      </c>
      <c r="V39" s="126" t="s">
        <v>156</v>
      </c>
      <c r="W39" s="124">
        <f ca="1">IF($C39="S",ROUND(IF(TIPOORCAMENTO="Proposto",ORÇAMENTO.CustoUnitario*(1+$AH39),ORÇAMENTO.PrecoUnitarioLicitado),15-13*$AF$10),0)</f>
        <v>0.56999999999999995</v>
      </c>
      <c r="X39" s="127">
        <f ca="1">IF($C39="S",IF(Import.TipoArredondamento&lt;&gt;"TransfereGOV",VTOTAL1,SUM(OFFSET(CÁLCULO!$AA$15,ROW($X39)-ROW($X$15),1):OFFSET(CÁLCULO!$AL$15,ROW($X39)-ROW($X$15),-1))),IF($C39=0,0,ROUND(SomaAgrup,15-13*$AF$11)))</f>
        <v>4540.1000000000004</v>
      </c>
      <c r="Y39" s="128" t="s">
        <v>245</v>
      </c>
      <c r="Z39" t="str">
        <f t="shared" ca="1" si="12"/>
        <v>RA</v>
      </c>
      <c r="AA39" s="129">
        <f ca="1">IF($C39="S",IF($Z39="CP",$X39,IF($Z39="RA",(($X39)*QCI!$AA$3),0)),SomaAgrup)</f>
        <v>4540.1000000000004</v>
      </c>
      <c r="AB39" s="130">
        <f t="shared" ca="1" si="13"/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SICRO 4011353</v>
      </c>
      <c r="AF39" s="13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20411</v>
      </c>
      <c r="AG39" s="498">
        <f ca="1">ROUND(IF(DESONERACAO="sim",REFERENCIA.Desonerado,REFERENCIA.NaoDesonerado),2)</f>
        <v>0.46</v>
      </c>
      <c r="AH39" s="499">
        <f t="shared" ca="1" si="14"/>
        <v>0.23380000000000001</v>
      </c>
      <c r="AJ39" s="501">
        <v>7965.08</v>
      </c>
      <c r="AL39" s="527"/>
      <c r="AM39" s="381">
        <f t="shared" ca="1" si="0"/>
        <v>4540.1000000000004</v>
      </c>
      <c r="AN39" s="566">
        <f t="shared" ca="1" si="15"/>
        <v>0.56999999999999995</v>
      </c>
    </row>
    <row r="40" spans="1:40" x14ac:dyDescent="0.2">
      <c r="A40" t="str">
        <f t="shared" si="1"/>
        <v>S</v>
      </c>
      <c r="B40">
        <f t="shared" ca="1" si="2"/>
        <v>2</v>
      </c>
      <c r="C40" t="str">
        <f t="shared" ca="1" si="3"/>
        <v>S</v>
      </c>
      <c r="D40">
        <f t="shared" ca="1" si="4"/>
        <v>0</v>
      </c>
      <c r="E40">
        <f ca="1">IF($C40=1,OFFSET(E40,-1,0)+MAX(1,COUNTIF(QCI!$A$13:$A$24,OFFSET(ORÇAMENTO!E40,-1,0))),OFFSET(E40,-1,0))</f>
        <v>1</v>
      </c>
      <c r="F40">
        <f t="shared" ca="1" si="5"/>
        <v>4</v>
      </c>
      <c r="G40">
        <f t="shared" ca="1" si="6"/>
        <v>0</v>
      </c>
      <c r="H40">
        <f t="shared" ca="1" si="7"/>
        <v>0</v>
      </c>
      <c r="I40">
        <f t="shared" ca="1" si="8"/>
        <v>6</v>
      </c>
      <c r="J40">
        <f ca="1">IF(OR($C40="S",$C40=0),0,MATCH(0,OFFSET($D40,1,$C40,ROW($C$119)-ROW($C40)),0))</f>
        <v>0</v>
      </c>
      <c r="K40">
        <f ca="1">IF(OR($C40="S",$C40=0),0,MATCH(OFFSET($D40,0,$C40)+IF($C40&lt;&gt;1,1,COUNTIF(QCI!$A$13:$A$24,ORÇAMENTO!E40)),OFFSET($D40,1,$C40,ROW($C$119)-ROW($C40)),0))</f>
        <v>0</v>
      </c>
      <c r="L40" s="116" t="str">
        <f t="shared" ca="1" si="9"/>
        <v>F</v>
      </c>
      <c r="M40" s="117" t="s">
        <v>199</v>
      </c>
      <c r="N40" s="118" t="str">
        <f t="shared" ca="1" si="10"/>
        <v>Serviço</v>
      </c>
      <c r="O40" s="119" t="str">
        <f t="shared" ca="1" si="11"/>
        <v>1.4.6.</v>
      </c>
      <c r="P40" s="120" t="s">
        <v>474</v>
      </c>
      <c r="Q40" s="121" t="s">
        <v>482</v>
      </c>
      <c r="R40" s="122" t="str">
        <f ca="1">IF($C40="S",REFERENCIA.Descricao,"(digite a descrição aqui)")</f>
        <v>Concreto asfáltico - faixa C-12,5 - areia e brita comerciais</v>
      </c>
      <c r="S40" s="123" t="str">
        <f ca="1">REFERENCIA.Unidade</f>
        <v>t</v>
      </c>
      <c r="T40" s="124">
        <f ca="1">OFFSET(CÁLCULO!H$15,ROW($T40)-ROW(T$15),0)</f>
        <v>622.1</v>
      </c>
      <c r="U40" s="125">
        <f t="shared" ca="1" si="17"/>
        <v>190.43</v>
      </c>
      <c r="V40" s="126" t="s">
        <v>156</v>
      </c>
      <c r="W40" s="124">
        <f ca="1">IF($C40="S",ROUND(IF(TIPOORCAMENTO="Proposto",ORÇAMENTO.CustoUnitario*(1+$AH40),ORÇAMENTO.PrecoUnitarioLicitado),15-13*$AF$10),0)</f>
        <v>234.95</v>
      </c>
      <c r="X40" s="127">
        <f ca="1">IF($C40="S",IF(Import.TipoArredondamento&lt;&gt;"TransfereGOV",VTOTAL1,SUM(OFFSET(CÁLCULO!$AA$15,ROW($X40)-ROW($X$15),1):OFFSET(CÁLCULO!$AL$15,ROW($X40)-ROW($X$15),-1))),IF($C40=0,0,ROUND(SomaAgrup,15-13*$AF$11)))</f>
        <v>146162.4</v>
      </c>
      <c r="Y40" s="128" t="s">
        <v>245</v>
      </c>
      <c r="Z40" t="str">
        <f t="shared" ca="1" si="12"/>
        <v>RA</v>
      </c>
      <c r="AA40" s="129">
        <f ca="1">IF($C40="S",IF($Z40="CP",$X40,IF($Z40="RA",(($X40)*QCI!$AA$3),0)),SomaAgrup)</f>
        <v>146162.4</v>
      </c>
      <c r="AB40" s="130">
        <f t="shared" ca="1" si="13"/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IF(C40&lt;=CRONO.NivelExibicao,MAX($AD$15:OFFSET(AD40,-1,0))+IF($C40&lt;&gt;1,1,MAX(1,COUNTIF(QCI!$A$13:$A$24,OFFSET($E40,-1,0)))),"")</f>
        <v/>
      </c>
      <c r="AE40" s="7" t="str">
        <f ca="1">IF(AND($C40="S",ORÇAMENTO.CodBarra&lt;&gt;""),IF(ORÇAMENTO.Fonte="",ORÇAMENTO.CodBarra,CONCATENATE(ORÇAMENTO.Fonte," ",ORÇAMENTO.CodBarra)))</f>
        <v>SICRO 4011463</v>
      </c>
      <c r="AF40" s="13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20346</v>
      </c>
      <c r="AG40" s="498">
        <f ca="1">ROUND(IF(DESONERACAO="sim",REFERENCIA.Desonerado,REFERENCIA.NaoDesonerado),2)</f>
        <v>190.43</v>
      </c>
      <c r="AH40" s="499">
        <f t="shared" ca="1" si="14"/>
        <v>0.23380000000000001</v>
      </c>
      <c r="AJ40" s="501">
        <v>622.1</v>
      </c>
      <c r="AL40" s="527"/>
      <c r="AM40" s="381">
        <f t="shared" ca="1" si="0"/>
        <v>146162.4</v>
      </c>
      <c r="AN40" s="566">
        <f t="shared" ca="1" si="15"/>
        <v>234.95</v>
      </c>
    </row>
    <row r="41" spans="1:40" s="577" customFormat="1" x14ac:dyDescent="0.2">
      <c r="A41" s="577" t="str">
        <f>CHOOSE(1+LOG(1+2*(ORÇAMENTO.Nivel="Meta")+4*(ORÇAMENTO.Nivel="Nível 2")+8*(ORÇAMENTO.Nivel="Nível 3")+16*(ORÇAMENTO.Nivel="Nível 4")+32*(ORÇAMENTO.Nivel="Serviço"),2),0,1,2,3,4,"S")</f>
        <v>S</v>
      </c>
      <c r="B41" s="577">
        <f ca="1">IF(OR(C41="s",C41=0),OFFSET(B41,-1,0),C41)</f>
        <v>2</v>
      </c>
      <c r="C41" s="577" t="str">
        <f ca="1">IF(OFFSET(C41,-1,0)="L",1,IF(OFFSET(C41,-1,0)=1,2,IF(OR(A41="s",A41=0),"S",IF(AND(OFFSET(C41,-1,0)=2,A41=4),3,IF(AND(OR(OFFSET(C41,-1,0)="s",OFFSET(C41,-1,0)=0),A41&lt;&gt;"s",A41&gt;OFFSET(B41,-1,0)),OFFSET(B41,-1,0),A41)))))</f>
        <v>S</v>
      </c>
      <c r="D41" s="577">
        <f ca="1">IF(OR(C41="S",C41=0),0,IF(ISERROR(K41),J41,SMALL(J41:K41,1)))</f>
        <v>0</v>
      </c>
      <c r="E41" s="577">
        <f ca="1">IF($C41=1,OFFSET(E41,-1,0)+MAX(1,COUNTIF(QCI!$A$13:$A$24,OFFSET(ORÇAMENTO!E41,-1,0))),OFFSET(E41,-1,0))</f>
        <v>1</v>
      </c>
      <c r="F41" s="577">
        <f ca="1">IF($C41=1,0,IF($C41=2,OFFSET(F41,-1,0)+1,OFFSET(F41,-1,0)))</f>
        <v>4</v>
      </c>
      <c r="G41" s="577">
        <f ca="1">IF(AND($C41&lt;=2,$C41&lt;&gt;0),0,IF($C41=3,OFFSET(G41,-1,0)+1,OFFSET(G41,-1,0)))</f>
        <v>0</v>
      </c>
      <c r="H41" s="577">
        <f ca="1">IF(AND($C41&lt;=3,$C41&lt;&gt;0),0,IF($C41=4,OFFSET(H41,-1,0)+1,OFFSET(H41,-1,0)))</f>
        <v>0</v>
      </c>
      <c r="I41" s="577">
        <f ca="1">IF(AND($C41&lt;=4,$C41&lt;&gt;0),0,IF(AND($C41="S",$X41&gt;0),OFFSET(I41,-1,0)+1,OFFSET(I41,-1,0)))</f>
        <v>7</v>
      </c>
      <c r="J41" s="577">
        <f ca="1">IF(OR($C41="S",$C41=0),0,MATCH(0,OFFSET($D41,1,$C41,ROW($C$119)-ROW($C41)),0))</f>
        <v>0</v>
      </c>
      <c r="K41" s="577">
        <f ca="1">IF(OR($C41="S",$C41=0),0,MATCH(OFFSET($D41,0,$C41)+IF($C41&lt;&gt;1,1,COUNTIF(QCI!$A$13:$A$24,ORÇAMENTO!E41)),OFFSET($D41,1,$C41,ROW($C$119)-ROW($C41)),0))</f>
        <v>0</v>
      </c>
      <c r="L41" s="116" t="str">
        <f ca="1">IF(OR($X41&gt;0,$C41=1,$C41=2,$C41=3,$C41=4),"F","")</f>
        <v>F</v>
      </c>
      <c r="M41" s="117" t="s">
        <v>199</v>
      </c>
      <c r="N41" s="118" t="str">
        <f ca="1">CHOOSE(1+LOG(1+2*(C41=1)+4*(C41=2)+8*(C41=3)+16*(C41=4)+32*(C41="S"),2),"","Meta","Nível 2","Nível 3","Nível 4","Serviço")</f>
        <v>Serviço</v>
      </c>
      <c r="O41" s="119" t="str">
        <f ca="1">IF(OR($C41=0,$L41=""),"-",CONCATENATE(E41&amp;".",IF(AND($A$5&gt;=2,$C41&gt;=2),F41&amp;".",""),IF(AND($A$5&gt;=3,$C41&gt;=3),G41&amp;".",""),IF(AND($A$5&gt;=4,$C41&gt;=4),H41&amp;".",""),IF($C41="S",I41&amp;".","")))</f>
        <v>1.4.7.</v>
      </c>
      <c r="P41" s="120" t="s">
        <v>474</v>
      </c>
      <c r="Q41" s="121" t="s">
        <v>479</v>
      </c>
      <c r="R41" s="122" t="str">
        <f ca="1">IF($C41="S",REFERENCIA.Descricao,"(digite a descrição aqui)")</f>
        <v>Transporte com caminhão basculante de 10 m³ - rodovia pavimentada</v>
      </c>
      <c r="S41" s="123" t="str">
        <f ca="1">REFERENCIA.Unidade</f>
        <v>tkm</v>
      </c>
      <c r="T41" s="124">
        <f ca="1">OFFSET(CÁLCULO!H$15,ROW($T41)-ROW(T$15),0)</f>
        <v>18663</v>
      </c>
      <c r="U41" s="125">
        <f t="shared" ca="1" si="17"/>
        <v>0.82</v>
      </c>
      <c r="V41" s="126" t="s">
        <v>191</v>
      </c>
      <c r="W41" s="124">
        <f ca="1">IF($C41="S",ROUND(IF(TIPOORCAMENTO="Proposto",ORÇAMENTO.CustoUnitario*(1+$AH41),ORÇAMENTO.PrecoUnitarioLicitado),15-13*$AF$10),0)</f>
        <v>0.94</v>
      </c>
      <c r="X41" s="127">
        <f ca="1">IF($C41="S",IF(Import.TipoArredondamento&lt;&gt;"TransfereGOV",VTOTAL1,SUM(OFFSET(CÁLCULO!$AA$15,ROW($X41)-ROW($X$15),1):OFFSET(CÁLCULO!$AL$15,ROW($X41)-ROW($X$15),-1))),IF($C41=0,0,ROUND(SomaAgrup,15-13*$AF$11)))</f>
        <v>17543.22</v>
      </c>
      <c r="Y41" s="128" t="s">
        <v>245</v>
      </c>
      <c r="Z41" s="577" t="str">
        <f ca="1">IF(AND($C41="S",$X41&gt;0),IF(ISBLANK($Y41),"RA",LEFT($Y41,2)),"")</f>
        <v>RA</v>
      </c>
      <c r="AA41" s="129">
        <f ca="1">IF($C41="S",IF($Z41="CP",$X41,IF($Z41="RA",(($X41)*QCI!$AA$3),0)),SomaAgrup)</f>
        <v>17543.22</v>
      </c>
      <c r="AB41" s="130">
        <f ca="1">IF($C41="S",IF($Z41="OU",ROUND($X41,2),0),SomaAgrup)</f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s="577" t="str">
        <f ca="1">IF(C41&lt;=CRONO.NivelExibicao,MAX($AD$15:OFFSET(AD41,-1,0))+IF($C41&lt;&gt;1,1,MAX(1,COUNTIF(QCI!$A$13:$A$24,OFFSET($E41,-1,0)))),"")</f>
        <v/>
      </c>
      <c r="AE41" s="7" t="str">
        <f ca="1">IF(AND($C41="S",ORÇAMENTO.CodBarra&lt;&gt;""),IF(ORÇAMENTO.Fonte="",ORÇAMENTO.CodBarra,CONCATENATE(ORÇAMENTO.Fonte," ",ORÇAMENTO.CodBarra)))</f>
        <v>SICRO 5914389</v>
      </c>
      <c r="AF41" s="576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21855</v>
      </c>
      <c r="AG41" s="498">
        <f ca="1">ROUND(IF(DESONERACAO="sim",REFERENCIA.Desonerado,REFERENCIA.NaoDesonerado),2)</f>
        <v>0.82</v>
      </c>
      <c r="AH41" s="499">
        <f ca="1">ROUND(IF(ISNUMBER(ORÇAMENTO.OpcaoBDI),ORÇAMENTO.OpcaoBDI,IF(LEFT(ORÇAMENTO.OpcaoBDI,3)="BDI",HLOOKUP(ORÇAMENTO.OpcaoBDI,$F$4:$H$5,2,FALSE),0)),15-11*$AF$9)</f>
        <v>0.15</v>
      </c>
      <c r="AJ41" s="501">
        <v>18663</v>
      </c>
      <c r="AL41" s="527"/>
      <c r="AM41" s="381">
        <f t="shared" ca="1" si="0"/>
        <v>17543.22</v>
      </c>
      <c r="AN41" s="566">
        <f ca="1">ROUND(ORÇAMENTO.CustoUnitario*(1+$AH41),2)</f>
        <v>0.94</v>
      </c>
    </row>
    <row r="42" spans="1:40" s="577" customFormat="1" ht="38.25" x14ac:dyDescent="0.2">
      <c r="A42" s="577" t="str">
        <f>CHOOSE(1+LOG(1+2*(ORÇAMENTO.Nivel="Meta")+4*(ORÇAMENTO.Nivel="Nível 2")+8*(ORÇAMENTO.Nivel="Nível 3")+16*(ORÇAMENTO.Nivel="Nível 4")+32*(ORÇAMENTO.Nivel="Serviço"),2),0,1,2,3,4,"S")</f>
        <v>S</v>
      </c>
      <c r="B42" s="577">
        <f ca="1">IF(OR(C42="s",C42=0),OFFSET(B42,-1,0),C42)</f>
        <v>2</v>
      </c>
      <c r="C42" s="577" t="str">
        <f ca="1">IF(OFFSET(C42,-1,0)="L",1,IF(OFFSET(C42,-1,0)=1,2,IF(OR(A42="s",A42=0),"S",IF(AND(OFFSET(C42,-1,0)=2,A42=4),3,IF(AND(OR(OFFSET(C42,-1,0)="s",OFFSET(C42,-1,0)=0),A42&lt;&gt;"s",A42&gt;OFFSET(B42,-1,0)),OFFSET(B42,-1,0),A42)))))</f>
        <v>S</v>
      </c>
      <c r="D42" s="577">
        <f ca="1">IF(OR(C42="S",C42=0),0,IF(ISERROR(K42),J42,SMALL(J42:K42,1)))</f>
        <v>0</v>
      </c>
      <c r="E42" s="577">
        <f ca="1">IF($C42=1,OFFSET(E42,-1,0)+MAX(1,COUNTIF(QCI!$A$13:$A$24,OFFSET(ORÇAMENTO!E42,-1,0))),OFFSET(E42,-1,0))</f>
        <v>1</v>
      </c>
      <c r="F42" s="577">
        <f ca="1">IF($C42=1,0,IF($C42=2,OFFSET(F42,-1,0)+1,OFFSET(F42,-1,0)))</f>
        <v>4</v>
      </c>
      <c r="G42" s="577">
        <f ca="1">IF(AND($C42&lt;=2,$C42&lt;&gt;0),0,IF($C42=3,OFFSET(G42,-1,0)+1,OFFSET(G42,-1,0)))</f>
        <v>0</v>
      </c>
      <c r="H42" s="577">
        <f ca="1">IF(AND($C42&lt;=3,$C42&lt;&gt;0),0,IF($C42=4,OFFSET(H42,-1,0)+1,OFFSET(H42,-1,0)))</f>
        <v>0</v>
      </c>
      <c r="I42" s="577">
        <f ca="1">IF(AND($C42&lt;=4,$C42&lt;&gt;0),0,IF(AND($C42="S",$X42&gt;0),OFFSET(I42,-1,0)+1,OFFSET(I42,-1,0)))</f>
        <v>8</v>
      </c>
      <c r="J42" s="577">
        <f ca="1">IF(OR($C42="S",$C42=0),0,MATCH(0,OFFSET($D42,1,$C42,ROW($C$119)-ROW($C42)),0))</f>
        <v>0</v>
      </c>
      <c r="K42" s="577">
        <f ca="1">IF(OR($C42="S",$C42=0),0,MATCH(OFFSET($D42,0,$C42)+IF($C42&lt;&gt;1,1,COUNTIF(QCI!$A$13:$A$24,ORÇAMENTO!E42)),OFFSET($D42,1,$C42,ROW($C$119)-ROW($C42)),0))</f>
        <v>0</v>
      </c>
      <c r="L42" s="116" t="str">
        <f ca="1">IF(OR($X42&gt;0,$C42=1,$C42=2,$C42=3,$C42=4),"F","")</f>
        <v>F</v>
      </c>
      <c r="M42" s="117" t="s">
        <v>199</v>
      </c>
      <c r="N42" s="118" t="str">
        <f ca="1">CHOOSE(1+LOG(1+2*(C42=1)+4*(C42=2)+8*(C42=3)+16*(C42=4)+32*(C42="S"),2),"","Meta","Nível 2","Nível 3","Nível 4","Serviço")</f>
        <v>Serviço</v>
      </c>
      <c r="O42" s="119" t="str">
        <f ca="1">IF(OR($C42=0,$L42=""),"-",CONCATENATE(E42&amp;".",IF(AND($A$5&gt;=2,$C42&gt;=2),F42&amp;".",""),IF(AND($A$5&gt;=3,$C42&gt;=3),G42&amp;".",""),IF(AND($A$5&gt;=4,$C42&gt;=4),H42&amp;".",""),IF($C42="S",I42&amp;".","")))</f>
        <v>1.4.8.</v>
      </c>
      <c r="P42" s="120" t="s">
        <v>474</v>
      </c>
      <c r="Q42" s="121" t="s">
        <v>501</v>
      </c>
      <c r="R42" s="122" t="str">
        <f ca="1">IF($C42="S",REFERENCIA.Descricao,"(digite a descrição aqui)")</f>
        <v>Carga, manobra e descarga de concreto asfáltico com borracha em caminhão basculante de 10 m³ - carga em usina de asfalto 100/140 t/h e descarga em vibroacabadora</v>
      </c>
      <c r="S42" s="123" t="str">
        <f ca="1">REFERENCIA.Unidade</f>
        <v>t</v>
      </c>
      <c r="T42" s="124">
        <f ca="1">OFFSET(CÁLCULO!H$15,ROW($T42)-ROW(T$15),0)</f>
        <v>622.1</v>
      </c>
      <c r="U42" s="125">
        <f t="shared" ca="1" si="17"/>
        <v>9.09</v>
      </c>
      <c r="V42" s="126" t="s">
        <v>156</v>
      </c>
      <c r="W42" s="124">
        <f ca="1">IF($C42="S",ROUND(IF(TIPOORCAMENTO="Proposto",ORÇAMENTO.CustoUnitario*(1+$AH42),ORÇAMENTO.PrecoUnitarioLicitado),15-13*$AF$10),0)</f>
        <v>11.22</v>
      </c>
      <c r="X42" s="127">
        <f ca="1">IF($C42="S",IF(Import.TipoArredondamento&lt;&gt;"TransfereGOV",VTOTAL1,SUM(OFFSET(CÁLCULO!$AA$15,ROW($X42)-ROW($X$15),1):OFFSET(CÁLCULO!$AL$15,ROW($X42)-ROW($X$15),-1))),IF($C42=0,0,ROUND(SomaAgrup,15-13*$AF$11)))</f>
        <v>6979.96</v>
      </c>
      <c r="Y42" s="128" t="s">
        <v>245</v>
      </c>
      <c r="Z42" s="577" t="str">
        <f ca="1">IF(AND($C42="S",$X42&gt;0),IF(ISBLANK($Y42),"RA",LEFT($Y42,2)),"")</f>
        <v>RA</v>
      </c>
      <c r="AA42" s="129">
        <f ca="1">IF($C42="S",IF($Z42="CP",$X42,IF($Z42="RA",(($X42)*QCI!$AA$3),0)),SomaAgrup)</f>
        <v>6979.96</v>
      </c>
      <c r="AB42" s="130">
        <f ca="1">IF($C42="S",IF($Z42="OU",ROUND($X42,2),0),SomaAgrup)</f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s="577" t="str">
        <f ca="1">IF(C42&lt;=CRONO.NivelExibicao,MAX($AD$15:OFFSET(AD42,-1,0))+IF($C42&lt;&gt;1,1,MAX(1,COUNTIF(QCI!$A$13:$A$24,OFFSET($E42,-1,0)))),"")</f>
        <v/>
      </c>
      <c r="AE42" s="7" t="str">
        <f ca="1">IF(AND($C42="S",ORÇAMENTO.CodBarra&lt;&gt;""),IF(ORÇAMENTO.Fonte="",ORÇAMENTO.CodBarra,CONCATENATE(ORÇAMENTO.Fonte," ",ORÇAMENTO.CodBarra)))</f>
        <v>SICRO 5914646</v>
      </c>
      <c r="AF42" s="576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21777</v>
      </c>
      <c r="AG42" s="498">
        <f ca="1">ROUND(IF(DESONERACAO="sim",REFERENCIA.Desonerado,REFERENCIA.NaoDesonerado),2)</f>
        <v>9.09</v>
      </c>
      <c r="AH42" s="499">
        <f ca="1">ROUND(IF(ISNUMBER(ORÇAMENTO.OpcaoBDI),ORÇAMENTO.OpcaoBDI,IF(LEFT(ORÇAMENTO.OpcaoBDI,3)="BDI",HLOOKUP(ORÇAMENTO.OpcaoBDI,$F$4:$H$5,2,FALSE),0)),15-11*$AF$9)</f>
        <v>0.23380000000000001</v>
      </c>
      <c r="AJ42" s="501">
        <v>622.1</v>
      </c>
      <c r="AL42" s="527"/>
      <c r="AM42" s="381">
        <f t="shared" ca="1" si="0"/>
        <v>6979.96</v>
      </c>
      <c r="AN42" s="566">
        <f ca="1">ROUND(ORÇAMENTO.CustoUnitario*(1+$AH42),2)</f>
        <v>11.22</v>
      </c>
    </row>
    <row r="43" spans="1:40" ht="25.5" x14ac:dyDescent="0.2">
      <c r="A43" t="str">
        <f t="shared" si="1"/>
        <v>S</v>
      </c>
      <c r="B43">
        <f t="shared" ca="1" si="2"/>
        <v>2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1</v>
      </c>
      <c r="F43">
        <f t="shared" ca="1" si="5"/>
        <v>4</v>
      </c>
      <c r="G43">
        <f t="shared" ca="1" si="6"/>
        <v>0</v>
      </c>
      <c r="H43">
        <f t="shared" ca="1" si="7"/>
        <v>0</v>
      </c>
      <c r="I43">
        <f t="shared" ca="1" si="8"/>
        <v>9</v>
      </c>
      <c r="J43">
        <f ca="1">IF(OR($C43="S",$C43=0),0,MATCH(0,OFFSET($D43,1,$C43,ROW($C$119)-ROW($C43)),0))</f>
        <v>0</v>
      </c>
      <c r="K43">
        <f ca="1">IF(OR($C43="S",$C43=0),0,MATCH(OFFSET($D43,0,$C43)+IF($C43&lt;&gt;1,1,COUNTIF(QCI!$A$13:$A$24,ORÇAMENTO!E43)),OFFSET($D43,1,$C43,ROW($C$119)-ROW($C43)),0))</f>
        <v>0</v>
      </c>
      <c r="L43" s="116" t="str">
        <f t="shared" ca="1" si="9"/>
        <v>F</v>
      </c>
      <c r="M43" s="117" t="s">
        <v>199</v>
      </c>
      <c r="N43" s="118" t="str">
        <f t="shared" ca="1" si="10"/>
        <v>Serviço</v>
      </c>
      <c r="O43" s="119" t="str">
        <f t="shared" ca="1" si="11"/>
        <v>1.4.9.</v>
      </c>
      <c r="P43" s="120" t="s">
        <v>483</v>
      </c>
      <c r="Q43" s="121" t="s">
        <v>484</v>
      </c>
      <c r="R43" s="122" t="str">
        <f ca="1">IF($C43="S",REFERENCIA.Descricao,"(digite a descrição aqui)")</f>
        <v xml:space="preserve">CIMENTO ASFÁLTICO CAP 50/70 (Base de preço: ANP CAP 50/70 + ICMS (17%) + PIS (0,65%) + COFINS (3%) </v>
      </c>
      <c r="S43" s="123" t="str">
        <f ca="1">REFERENCIA.Unidade</f>
        <v>TON</v>
      </c>
      <c r="T43" s="124">
        <f ca="1">OFFSET(CÁLCULO!H$15,ROW($T43)-ROW(T$15),0)</f>
        <v>34.5</v>
      </c>
      <c r="U43" s="125">
        <f t="shared" ca="1" si="17"/>
        <v>4645.1099999999997</v>
      </c>
      <c r="V43" s="126" t="s">
        <v>191</v>
      </c>
      <c r="W43" s="124">
        <f ca="1">IF($C43="S",ROUND(IF(TIPOORCAMENTO="Proposto",ORÇAMENTO.CustoUnitario*(1+$AH43),ORÇAMENTO.PrecoUnitarioLicitado),15-13*$AF$10),0)</f>
        <v>5341.88</v>
      </c>
      <c r="X43" s="127">
        <f ca="1">IF($C43="S",IF(Import.TipoArredondamento&lt;&gt;"TransfereGOV",VTOTAL1,SUM(OFFSET(CÁLCULO!$AA$15,ROW($X43)-ROW($X$15),1):OFFSET(CÁLCULO!$AL$15,ROW($X43)-ROW($X$15),-1))),IF($C43=0,0,ROUND(SomaAgrup,15-13*$AF$11)))</f>
        <v>184294.86</v>
      </c>
      <c r="Y43" s="128" t="s">
        <v>245</v>
      </c>
      <c r="Z43" t="str">
        <f t="shared" ca="1" si="12"/>
        <v>RA</v>
      </c>
      <c r="AA43" s="129">
        <f ca="1">IF($C43="S",IF($Z43="CP",$X43,IF($Z43="RA",(($X43)*QCI!$AA$3),0)),SomaAgrup)</f>
        <v>184294.86</v>
      </c>
      <c r="AB43" s="130">
        <f t="shared" ca="1" si="13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Cotação 01</v>
      </c>
      <c r="AF43" s="13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9</v>
      </c>
      <c r="AG43" s="498">
        <f ca="1">ROUND(IF(DESONERACAO="sim",REFERENCIA.Desonerado,REFERENCIA.NaoDesonerado),2)</f>
        <v>4645.1099999999997</v>
      </c>
      <c r="AH43" s="499">
        <f t="shared" ca="1" si="14"/>
        <v>0.15</v>
      </c>
      <c r="AJ43" s="501">
        <v>34.5</v>
      </c>
      <c r="AL43" s="527"/>
      <c r="AM43" s="381">
        <f t="shared" ca="1" si="0"/>
        <v>184294.86</v>
      </c>
      <c r="AN43" s="566">
        <f t="shared" ca="1" si="15"/>
        <v>5341.88</v>
      </c>
    </row>
    <row r="44" spans="1:40" ht="25.5" x14ac:dyDescent="0.2">
      <c r="A44" t="str">
        <f t="shared" si="1"/>
        <v>S</v>
      </c>
      <c r="B44">
        <f t="shared" ca="1" si="2"/>
        <v>2</v>
      </c>
      <c r="C44" t="str">
        <f t="shared" ca="1" si="3"/>
        <v>S</v>
      </c>
      <c r="D44">
        <f t="shared" ca="1" si="4"/>
        <v>0</v>
      </c>
      <c r="E44">
        <f ca="1">IF($C44=1,OFFSET(E44,-1,0)+MAX(1,COUNTIF(QCI!$A$13:$A$24,OFFSET(ORÇAMENTO!E44,-1,0))),OFFSET(E44,-1,0))</f>
        <v>1</v>
      </c>
      <c r="F44">
        <f t="shared" ca="1" si="5"/>
        <v>4</v>
      </c>
      <c r="G44">
        <f t="shared" ca="1" si="6"/>
        <v>0</v>
      </c>
      <c r="H44">
        <f t="shared" ca="1" si="7"/>
        <v>0</v>
      </c>
      <c r="I44">
        <f t="shared" ca="1" si="8"/>
        <v>10</v>
      </c>
      <c r="J44">
        <f ca="1">IF(OR($C44="S",$C44=0),0,MATCH(0,OFFSET($D44,1,$C44,ROW($C$119)-ROW($C44)),0))</f>
        <v>0</v>
      </c>
      <c r="K44">
        <f ca="1">IF(OR($C44="S",$C44=0),0,MATCH(OFFSET($D44,0,$C44)+IF($C44&lt;&gt;1,1,COUNTIF(QCI!$A$13:$A$24,ORÇAMENTO!E44)),OFFSET($D44,1,$C44,ROW($C$119)-ROW($C44)),0))</f>
        <v>0</v>
      </c>
      <c r="L44" s="116" t="str">
        <f t="shared" ca="1" si="9"/>
        <v>F</v>
      </c>
      <c r="M44" s="117" t="s">
        <v>199</v>
      </c>
      <c r="N44" s="118" t="str">
        <f t="shared" ca="1" si="10"/>
        <v>Serviço</v>
      </c>
      <c r="O44" s="119" t="str">
        <f t="shared" ca="1" si="11"/>
        <v>1.4.10.</v>
      </c>
      <c r="P44" s="120" t="s">
        <v>483</v>
      </c>
      <c r="Q44" s="121" t="s">
        <v>485</v>
      </c>
      <c r="R44" s="122" t="str">
        <f ca="1">IF($C44="S",REFERENCIA.Descricao,"(digite a descrição aqui)")</f>
        <v xml:space="preserve">EMULSÃO ASFÁLTICA RR-2C ( Base de preço: ANP EMULSÃO RR-2C + ICMS (17%) + PIS (0,65%) + COFINS (3%) </v>
      </c>
      <c r="S44" s="123" t="str">
        <f ca="1">REFERENCIA.Unidade</f>
        <v>LITRO</v>
      </c>
      <c r="T44" s="124">
        <f ca="1">OFFSET(CÁLCULO!H$15,ROW($T44)-ROW(T$15),0)</f>
        <v>3584.29</v>
      </c>
      <c r="U44" s="125">
        <f t="shared" ca="1" si="17"/>
        <v>3.83</v>
      </c>
      <c r="V44" s="126" t="s">
        <v>191</v>
      </c>
      <c r="W44" s="124">
        <f ca="1">IF($C44="S",ROUND(IF(TIPOORCAMENTO="Proposto",ORÇAMENTO.CustoUnitario*(1+$AH44),ORÇAMENTO.PrecoUnitarioLicitado),15-13*$AF$10),0)</f>
        <v>4.4000000000000004</v>
      </c>
      <c r="X44" s="127">
        <f ca="1">IF($C44="S",IF(Import.TipoArredondamento&lt;&gt;"TransfereGOV",VTOTAL1,SUM(OFFSET(CÁLCULO!$AA$15,ROW($X44)-ROW($X$15),1):OFFSET(CÁLCULO!$AL$15,ROW($X44)-ROW($X$15),-1))),IF($C44=0,0,ROUND(SomaAgrup,15-13*$AF$11)))</f>
        <v>15770.88</v>
      </c>
      <c r="Y44" s="128" t="s">
        <v>245</v>
      </c>
      <c r="Z44" t="str">
        <f t="shared" ca="1" si="12"/>
        <v>RA</v>
      </c>
      <c r="AA44" s="129">
        <f ca="1">IF($C44="S",IF($Z44="CP",$X44,IF($Z44="RA",(($X44)*QCI!$AA$3),0)),SomaAgrup)</f>
        <v>15770.88</v>
      </c>
      <c r="AB44" s="130">
        <f t="shared" ca="1" si="13"/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" t="str">
        <f ca="1">IF(AND($C44="S",ORÇAMENTO.CodBarra&lt;&gt;""),IF(ORÇAMENTO.Fonte="",ORÇAMENTO.CodBarra,CONCATENATE(ORÇAMENTO.Fonte," ",ORÇAMENTO.CodBarra)))</f>
        <v>Cotação 02</v>
      </c>
      <c r="AF44" s="13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10</v>
      </c>
      <c r="AG44" s="498">
        <f ca="1">ROUND(IF(DESONERACAO="sim",REFERENCIA.Desonerado,REFERENCIA.NaoDesonerado),2)</f>
        <v>3.83</v>
      </c>
      <c r="AH44" s="499">
        <f t="shared" ca="1" si="14"/>
        <v>0.15</v>
      </c>
      <c r="AJ44" s="501">
        <v>3584.29</v>
      </c>
      <c r="AL44" s="527"/>
      <c r="AM44" s="381">
        <f t="shared" ca="1" si="0"/>
        <v>15770.88</v>
      </c>
      <c r="AN44" s="566">
        <f t="shared" ca="1" si="15"/>
        <v>4.4000000000000004</v>
      </c>
    </row>
    <row r="45" spans="1:40" ht="25.5" x14ac:dyDescent="0.2">
      <c r="A45" t="str">
        <f t="shared" si="1"/>
        <v>S</v>
      </c>
      <c r="B45">
        <f t="shared" ca="1" si="2"/>
        <v>2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1</v>
      </c>
      <c r="F45">
        <f t="shared" ca="1" si="5"/>
        <v>4</v>
      </c>
      <c r="G45">
        <f t="shared" ca="1" si="6"/>
        <v>0</v>
      </c>
      <c r="H45">
        <f t="shared" ca="1" si="7"/>
        <v>0</v>
      </c>
      <c r="I45">
        <f t="shared" ca="1" si="8"/>
        <v>11</v>
      </c>
      <c r="J45">
        <f ca="1">IF(OR($C45="S",$C45=0),0,MATCH(0,OFFSET($D45,1,$C45,ROW($C$119)-ROW($C45)),0))</f>
        <v>0</v>
      </c>
      <c r="K45">
        <f ca="1">IF(OR($C45="S",$C45=0),0,MATCH(OFFSET($D45,0,$C45)+IF($C45&lt;&gt;1,1,COUNTIF(QCI!$A$13:$A$24,ORÇAMENTO!E45)),OFFSET($D45,1,$C45,ROW($C$119)-ROW($C45)),0))</f>
        <v>0</v>
      </c>
      <c r="L45" s="116" t="str">
        <f t="shared" ca="1" si="9"/>
        <v>F</v>
      </c>
      <c r="M45" s="117" t="s">
        <v>199</v>
      </c>
      <c r="N45" s="118" t="str">
        <f t="shared" ca="1" si="10"/>
        <v>Serviço</v>
      </c>
      <c r="O45" s="119" t="str">
        <f t="shared" ca="1" si="11"/>
        <v>1.4.11.</v>
      </c>
      <c r="P45" s="120" t="s">
        <v>474</v>
      </c>
      <c r="Q45" s="121" t="s">
        <v>486</v>
      </c>
      <c r="R45" s="122" t="str">
        <f ca="1">IF($C45="S",REFERENCIA.Descricao,"(digite a descrição aqui)")</f>
        <v>Transporte de material betuminoso com caminhão tanque distribuidor - rodovia pavimentada</v>
      </c>
      <c r="S45" s="123" t="str">
        <f ca="1">REFERENCIA.Unidade</f>
        <v>tkm</v>
      </c>
      <c r="T45" s="124">
        <f ca="1">OFFSET(CÁLCULO!H$15,ROW($T45)-ROW(T$15),0)</f>
        <v>18278.400000000001</v>
      </c>
      <c r="U45" s="125">
        <f t="shared" ca="1" si="17"/>
        <v>2.2200000000000002</v>
      </c>
      <c r="V45" s="126" t="s">
        <v>191</v>
      </c>
      <c r="W45" s="124">
        <f ca="1">IF($C45="S",ROUND(IF(TIPOORCAMENTO="Proposto",ORÇAMENTO.CustoUnitario*(1+$AH45),ORÇAMENTO.PrecoUnitarioLicitado),15-13*$AF$10),0)</f>
        <v>2.5499999999999998</v>
      </c>
      <c r="X45" s="127">
        <f ca="1">IF($C45="S",IF(Import.TipoArredondamento&lt;&gt;"TransfereGOV",VTOTAL1,SUM(OFFSET(CÁLCULO!$AA$15,ROW($X45)-ROW($X$15),1):OFFSET(CÁLCULO!$AL$15,ROW($X45)-ROW($X$15),-1))),IF($C45=0,0,ROUND(SomaAgrup,15-13*$AF$11)))</f>
        <v>46609.919999999998</v>
      </c>
      <c r="Y45" s="128" t="s">
        <v>245</v>
      </c>
      <c r="Z45" t="str">
        <f t="shared" ca="1" si="12"/>
        <v>RA</v>
      </c>
      <c r="AA45" s="129">
        <f ca="1">IF($C45="S",IF($Z45="CP",$X45,IF($Z45="RA",(($X45)*QCI!$AA$3),0)),SomaAgrup)</f>
        <v>46609.919999999998</v>
      </c>
      <c r="AB45" s="130">
        <f t="shared" ca="1" si="13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SICRO 5914622</v>
      </c>
      <c r="AF45" s="13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21984</v>
      </c>
      <c r="AG45" s="498">
        <f ca="1">ROUND(IF(DESONERACAO="sim",REFERENCIA.Desonerado,REFERENCIA.NaoDesonerado),2)</f>
        <v>2.2200000000000002</v>
      </c>
      <c r="AH45" s="499">
        <f t="shared" ca="1" si="14"/>
        <v>0.15</v>
      </c>
      <c r="AJ45" s="501">
        <v>18278.400000000001</v>
      </c>
      <c r="AL45" s="527"/>
      <c r="AM45" s="381">
        <f t="shared" ca="1" si="0"/>
        <v>46609.919999999998</v>
      </c>
      <c r="AN45" s="566">
        <f t="shared" ca="1" si="15"/>
        <v>2.5499999999999998</v>
      </c>
    </row>
    <row r="46" spans="1:40" x14ac:dyDescent="0.2">
      <c r="A46">
        <f t="shared" si="1"/>
        <v>2</v>
      </c>
      <c r="B46">
        <f t="shared" ca="1" si="2"/>
        <v>2</v>
      </c>
      <c r="C46">
        <f t="shared" ca="1" si="3"/>
        <v>2</v>
      </c>
      <c r="D46">
        <f t="shared" ca="1" si="4"/>
        <v>9</v>
      </c>
      <c r="E46">
        <f ca="1">IF($C46=1,OFFSET(E46,-1,0)+MAX(1,COUNTIF(QCI!$A$13:$A$24,OFFSET(ORÇAMENTO!E46,-1,0))),OFFSET(E46,-1,0))</f>
        <v>1</v>
      </c>
      <c r="F46">
        <f t="shared" ca="1" si="5"/>
        <v>5</v>
      </c>
      <c r="G46">
        <f t="shared" ca="1" si="6"/>
        <v>0</v>
      </c>
      <c r="H46">
        <f t="shared" ca="1" si="7"/>
        <v>0</v>
      </c>
      <c r="I46">
        <f t="shared" ca="1" si="8"/>
        <v>0</v>
      </c>
      <c r="J46">
        <f ca="1">IF(OR($C46="S",$C46=0),0,MATCH(0,OFFSET($D46,1,$C46,ROW($C$119)-ROW($C46)),0))</f>
        <v>9</v>
      </c>
      <c r="K46" t="e">
        <f ca="1">IF(OR($C46="S",$C46=0),0,MATCH(OFFSET($D46,0,$C46)+IF($C46&lt;&gt;1,1,COUNTIF(QCI!$A$13:$A$24,ORÇAMENTO!E46)),OFFSET($D46,1,$C46,ROW($C$119)-ROW($C46)),0))</f>
        <v>#N/A</v>
      </c>
      <c r="L46" s="116" t="str">
        <f t="shared" ca="1" si="9"/>
        <v>F</v>
      </c>
      <c r="M46" s="117" t="s">
        <v>196</v>
      </c>
      <c r="N46" s="118" t="str">
        <f t="shared" ca="1" si="10"/>
        <v>Nível 2</v>
      </c>
      <c r="O46" s="119" t="str">
        <f t="shared" ca="1" si="11"/>
        <v>1.5.</v>
      </c>
      <c r="P46" s="120" t="s">
        <v>247</v>
      </c>
      <c r="Q46" s="121"/>
      <c r="R46" s="122" t="s">
        <v>455</v>
      </c>
      <c r="S46" s="123" t="str">
        <f ca="1">REFERENCIA.Unidade</f>
        <v>-</v>
      </c>
      <c r="T46" s="124">
        <f ca="1">OFFSET(CÁLCULO!H$15,ROW($T46)-ROW(T$15),0)</f>
        <v>0</v>
      </c>
      <c r="U46" s="125">
        <f t="shared" ca="1" si="17"/>
        <v>0</v>
      </c>
      <c r="V46" s="126" t="s">
        <v>156</v>
      </c>
      <c r="W46" s="124">
        <f ca="1">IF($C46="S",ROUND(IF(TIPOORCAMENTO="Proposto",ORÇAMENTO.CustoUnitario*(1+$AH46),ORÇAMENTO.PrecoUnitarioLicitado),15-13*$AF$10),0)</f>
        <v>0</v>
      </c>
      <c r="X46" s="127">
        <f ca="1">IF($C46="S",IF(Import.TipoArredondamento&lt;&gt;"TransfereGOV",VTOTAL1,SUM(OFFSET(CÁLCULO!$AA$15,ROW($X46)-ROW($X$15),1):OFFSET(CÁLCULO!$AL$15,ROW($X46)-ROW($X$15),-1))),IF($C46=0,0,ROUND(SomaAgrup,15-13*$AF$11)))</f>
        <v>14022.73</v>
      </c>
      <c r="Y46" s="128" t="s">
        <v>245</v>
      </c>
      <c r="Z46" t="str">
        <f t="shared" ca="1" si="12"/>
        <v/>
      </c>
      <c r="AA46" s="129">
        <f ca="1">IF($C46="S",IF($Z46="CP",$X46,IF($Z46="RA",(($X46)*QCI!$AA$3),0)),SomaAgrup)</f>
        <v>14022.730000000001</v>
      </c>
      <c r="AB46" s="130">
        <f t="shared" ca="1" si="13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>
        <f ca="1">IF(C46&lt;=CRONO.NivelExibicao,MAX($AD$15:OFFSET(AD46,-1,0))+IF($C46&lt;&gt;1,1,MAX(1,COUNTIF(QCI!$A$13:$A$24,OFFSET($E46,-1,0)))),"")</f>
        <v>6</v>
      </c>
      <c r="AE46" s="7" t="b">
        <f ca="1">IF(AND($C46="S",ORÇAMENTO.CodBarra&lt;&gt;""),IF(ORÇAMENTO.Fonte="",ORÇAMENTO.CodBarra,CONCATENATE(ORÇAMENTO.Fonte," ",ORÇAMENTO.CodBarra)))</f>
        <v>0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(Sem Código)</v>
      </c>
      <c r="AG46" s="498">
        <f ca="1">ROUND(IF(DESONERACAO="sim",REFERENCIA.Desonerado,REFERENCIA.NaoDesonerado),2)</f>
        <v>0</v>
      </c>
      <c r="AH46" s="499">
        <f t="shared" ca="1" si="14"/>
        <v>0.23380000000000001</v>
      </c>
      <c r="AJ46" s="501"/>
      <c r="AL46" s="527"/>
      <c r="AM46" s="381">
        <f t="shared" ca="1" si="0"/>
        <v>14022.73</v>
      </c>
      <c r="AN46" s="566">
        <f t="shared" ca="1" si="15"/>
        <v>0</v>
      </c>
    </row>
    <row r="47" spans="1:40" ht="25.5" x14ac:dyDescent="0.2">
      <c r="A47" t="str">
        <f t="shared" si="1"/>
        <v>S</v>
      </c>
      <c r="B47">
        <f t="shared" ca="1" si="2"/>
        <v>2</v>
      </c>
      <c r="C47" t="str">
        <f t="shared" ca="1" si="3"/>
        <v>S</v>
      </c>
      <c r="D47">
        <f t="shared" ca="1" si="4"/>
        <v>0</v>
      </c>
      <c r="E47">
        <f ca="1">IF($C47=1,OFFSET(E47,-1,0)+MAX(1,COUNTIF(QCI!$A$13:$A$24,OFFSET(ORÇAMENTO!E47,-1,0))),OFFSET(E47,-1,0))</f>
        <v>1</v>
      </c>
      <c r="F47">
        <f t="shared" ca="1" si="5"/>
        <v>5</v>
      </c>
      <c r="G47">
        <f t="shared" ca="1" si="6"/>
        <v>0</v>
      </c>
      <c r="H47">
        <f t="shared" ca="1" si="7"/>
        <v>0</v>
      </c>
      <c r="I47">
        <f t="shared" ca="1" si="8"/>
        <v>1</v>
      </c>
      <c r="J47">
        <f ca="1">IF(OR($C47="S",$C47=0),0,MATCH(0,OFFSET($D47,1,$C47,ROW($C$119)-ROW($C47)),0))</f>
        <v>0</v>
      </c>
      <c r="K47">
        <f ca="1">IF(OR($C47="S",$C47=0),0,MATCH(OFFSET($D47,0,$C47)+IF($C47&lt;&gt;1,1,COUNTIF(QCI!$A$13:$A$24,ORÇAMENTO!E47)),OFFSET($D47,1,$C47,ROW($C$119)-ROW($C47)),0))</f>
        <v>0</v>
      </c>
      <c r="L47" s="116" t="str">
        <f t="shared" ca="1" si="9"/>
        <v>F</v>
      </c>
      <c r="M47" s="117" t="s">
        <v>199</v>
      </c>
      <c r="N47" s="118" t="str">
        <f t="shared" ca="1" si="10"/>
        <v>Serviço</v>
      </c>
      <c r="O47" s="119" t="str">
        <f t="shared" ca="1" si="11"/>
        <v>1.5.1.</v>
      </c>
      <c r="P47" s="120" t="s">
        <v>474</v>
      </c>
      <c r="Q47" s="121" t="s">
        <v>491</v>
      </c>
      <c r="R47" s="122" t="str">
        <f ca="1">IF($C47="S",REFERENCIA.Descricao,"(digite a descrição aqui)")</f>
        <v>Placa de advertência em aço, lado de 0,60 m - película retrorrefletiva tipo I + SI - fornecimento e implantação</v>
      </c>
      <c r="S47" s="123" t="str">
        <f ca="1">REFERENCIA.Unidade</f>
        <v>un</v>
      </c>
      <c r="T47" s="124">
        <f ca="1">OFFSET(CÁLCULO!H$15,ROW($T47)-ROW(T$15),0)</f>
        <v>2</v>
      </c>
      <c r="U47" s="125">
        <f t="shared" ca="1" si="17"/>
        <v>287.33999999999997</v>
      </c>
      <c r="V47" s="126" t="s">
        <v>156</v>
      </c>
      <c r="W47" s="124">
        <f ca="1">IF($C47="S",ROUND(IF(TIPOORCAMENTO="Proposto",ORÇAMENTO.CustoUnitario*(1+$AH47),ORÇAMENTO.PrecoUnitarioLicitado),15-13*$AF$10),0)</f>
        <v>354.52</v>
      </c>
      <c r="X47" s="127">
        <f ca="1">IF($C47="S",IF(Import.TipoArredondamento&lt;&gt;"TransfereGOV",VTOTAL1,SUM(OFFSET(CÁLCULO!$AA$15,ROW($X47)-ROW($X$15),1):OFFSET(CÁLCULO!$AL$15,ROW($X47)-ROW($X$15),-1))),IF($C47=0,0,ROUND(SomaAgrup,15-13*$AF$11)))</f>
        <v>709.04</v>
      </c>
      <c r="Y47" s="128" t="s">
        <v>245</v>
      </c>
      <c r="Z47" t="str">
        <f t="shared" ca="1" si="12"/>
        <v>RA</v>
      </c>
      <c r="AA47" s="129">
        <f ca="1">IF($C47="S",IF($Z47="CP",$X47,IF($Z47="RA",(($X47)*QCI!$AA$3),0)),SomaAgrup)</f>
        <v>709.04</v>
      </c>
      <c r="AB47" s="130">
        <f t="shared" ca="1" si="13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" t="str">
        <f ca="1">IF(AND($C47="S",ORÇAMENTO.CodBarra&lt;&gt;""),IF(ORÇAMENTO.Fonte="",ORÇAMENTO.CodBarra,CONCATENATE(ORÇAMENTO.Fonte," ",ORÇAMENTO.CodBarra)))</f>
        <v>SICRO 5213464</v>
      </c>
      <c r="AF47" s="13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21013</v>
      </c>
      <c r="AG47" s="498">
        <f ca="1">ROUND(IF(DESONERACAO="sim",REFERENCIA.Desonerado,REFERENCIA.NaoDesonerado),2)</f>
        <v>287.33999999999997</v>
      </c>
      <c r="AH47" s="499">
        <f t="shared" ca="1" si="14"/>
        <v>0.23380000000000001</v>
      </c>
      <c r="AJ47" s="501">
        <v>2</v>
      </c>
      <c r="AL47" s="527"/>
      <c r="AM47" s="381">
        <f t="shared" ca="1" si="0"/>
        <v>709.04</v>
      </c>
      <c r="AN47" s="566">
        <f t="shared" ca="1" si="15"/>
        <v>354.52</v>
      </c>
    </row>
    <row r="48" spans="1:40" ht="25.5" x14ac:dyDescent="0.2">
      <c r="A48" t="str">
        <f>CHOOSE(1+LOG(1+2*(ORÇAMENTO.Nivel="Meta")+4*(ORÇAMENTO.Nivel="Nível 2")+8*(ORÇAMENTO.Nivel="Nível 3")+16*(ORÇAMENTO.Nivel="Nível 4")+32*(ORÇAMENTO.Nivel="Serviço"),2),0,1,2,3,4,"S")</f>
        <v>S</v>
      </c>
      <c r="B48">
        <f ca="1">IF(OR(C48="s",C48=0),OFFSET(B48,-1,0),C48)</f>
        <v>2</v>
      </c>
      <c r="C48" t="str">
        <f ca="1">IF(OFFSET(C48,-1,0)="L",1,IF(OFFSET(C48,-1,0)=1,2,IF(OR(A48="s",A48=0),"S",IF(AND(OFFSET(C48,-1,0)=2,A48=4),3,IF(AND(OR(OFFSET(C48,-1,0)="s",OFFSET(C48,-1,0)=0),A48&lt;&gt;"s",A48&gt;OFFSET(B48,-1,0)),OFFSET(B48,-1,0),A48)))))</f>
        <v>S</v>
      </c>
      <c r="D48">
        <f ca="1">IF(OR(C48="S",C48=0),0,IF(ISERROR(K48),J48,SMALL(J48:K48,1)))</f>
        <v>0</v>
      </c>
      <c r="E48">
        <f ca="1">IF($C48=1,OFFSET(E48,-1,0)+MAX(1,COUNTIF(QCI!$A$13:$A$24,OFFSET(ORÇAMENTO!E48,-1,0))),OFFSET(E48,-1,0))</f>
        <v>1</v>
      </c>
      <c r="F48">
        <f ca="1">IF($C48=1,0,IF($C48=2,OFFSET(F48,-1,0)+1,OFFSET(F48,-1,0)))</f>
        <v>5</v>
      </c>
      <c r="G48">
        <f ca="1">IF(AND($C48&lt;=2,$C48&lt;&gt;0),0,IF($C48=3,OFFSET(G48,-1,0)+1,OFFSET(G48,-1,0)))</f>
        <v>0</v>
      </c>
      <c r="H48">
        <f ca="1">IF(AND($C48&lt;=3,$C48&lt;&gt;0),0,IF($C48=4,OFFSET(H48,-1,0)+1,OFFSET(H48,-1,0)))</f>
        <v>0</v>
      </c>
      <c r="I48">
        <f ca="1">IF(AND($C48&lt;=4,$C48&lt;&gt;0),0,IF(AND($C48="S",$X48&gt;0),OFFSET(I48,-1,0)+1,OFFSET(I48,-1,0)))</f>
        <v>2</v>
      </c>
      <c r="J48">
        <f ca="1">IF(OR($C48="S",$C48=0),0,MATCH(0,OFFSET($D48,1,$C48,ROW($C$119)-ROW($C48)),0))</f>
        <v>0</v>
      </c>
      <c r="K48">
        <f ca="1">IF(OR($C48="S",$C48=0),0,MATCH(OFFSET($D48,0,$C48)+IF($C48&lt;&gt;1,1,COUNTIF(QCI!$A$13:$A$24,ORÇAMENTO!E48)),OFFSET($D48,1,$C48,ROW($C$119)-ROW($C48)),0))</f>
        <v>0</v>
      </c>
      <c r="L48" s="116" t="str">
        <f ca="1">IF(OR($X48&gt;0,$C48=1,$C48=2,$C48=3,$C48=4),"F","")</f>
        <v>F</v>
      </c>
      <c r="M48" s="117" t="s">
        <v>199</v>
      </c>
      <c r="N48" s="118" t="str">
        <f ca="1">CHOOSE(1+LOG(1+2*(C48=1)+4*(C48=2)+8*(C48=3)+16*(C48=4)+32*(C48="S"),2),"","Meta","Nível 2","Nível 3","Nível 4","Serviço")</f>
        <v>Serviço</v>
      </c>
      <c r="O48" s="119" t="str">
        <f ca="1">IF(OR($C48=0,$L48=""),"-",CONCATENATE(E48&amp;".",IF(AND($A$5&gt;=2,$C48&gt;=2),F48&amp;".",""),IF(AND($A$5&gt;=3,$C48&gt;=3),G48&amp;".",""),IF(AND($A$5&gt;=4,$C48&gt;=4),H48&amp;".",""),IF($C48="S",I48&amp;".","")))</f>
        <v>1.5.2.</v>
      </c>
      <c r="P48" s="120" t="s">
        <v>474</v>
      </c>
      <c r="Q48" s="121" t="s">
        <v>492</v>
      </c>
      <c r="R48" s="122" t="str">
        <f ca="1">IF($C48="S",REFERENCIA.Descricao,"(digite a descrição aqui)")</f>
        <v>Placa de advertência em aço, lado de 0,80 m - película retrorrefletiva tipo I + SI - fornecimento e implantação</v>
      </c>
      <c r="S48" s="123" t="str">
        <f ca="1">REFERENCIA.Unidade</f>
        <v>un</v>
      </c>
      <c r="T48" s="124">
        <f ca="1">OFFSET(CÁLCULO!H$15,ROW($T48)-ROW(T$15),0)</f>
        <v>4</v>
      </c>
      <c r="U48" s="125">
        <f t="shared" ca="1" si="17"/>
        <v>491.67</v>
      </c>
      <c r="V48" s="126" t="s">
        <v>156</v>
      </c>
      <c r="W48" s="124">
        <f ca="1">IF($C48="S",ROUND(IF(TIPOORCAMENTO="Proposto",ORÇAMENTO.CustoUnitario*(1+$AH48),ORÇAMENTO.PrecoUnitarioLicitado),15-13*$AF$10),0)</f>
        <v>606.62</v>
      </c>
      <c r="X48" s="127">
        <f ca="1">IF($C48="S",IF(Import.TipoArredondamento&lt;&gt;"TransfereGOV",VTOTAL1,SUM(OFFSET(CÁLCULO!$AA$15,ROW($X48)-ROW($X$15),1):OFFSET(CÁLCULO!$AL$15,ROW($X48)-ROW($X$15),-1))),IF($C48=0,0,ROUND(SomaAgrup,15-13*$AF$11)))</f>
        <v>2426.48</v>
      </c>
      <c r="Y48" s="128" t="s">
        <v>245</v>
      </c>
      <c r="Z48" t="str">
        <f ca="1">IF(AND($C48="S",$X48&gt;0),IF(ISBLANK($Y48),"RA",LEFT($Y48,2)),"")</f>
        <v>RA</v>
      </c>
      <c r="AA48" s="129">
        <f ca="1">IF($C48="S",IF($Z48="CP",$X48,IF($Z48="RA",(($X48)*QCI!$AA$3),0)),SomaAgrup)</f>
        <v>2426.48</v>
      </c>
      <c r="AB48" s="130">
        <f ca="1">IF($C48="S",IF($Z48="OU",ROUND($X48,2),0),SomaAgrup)</f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" t="str">
        <f ca="1">IF(AND($C48="S",ORÇAMENTO.CodBarra&lt;&gt;""),IF(ORÇAMENTO.Fonte="",ORÇAMENTO.CodBarra,CONCATENATE(ORÇAMENTO.Fonte," ",ORÇAMENTO.CodBarra)))</f>
        <v>SICRO 5213465</v>
      </c>
      <c r="AF48" s="13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21014</v>
      </c>
      <c r="AG48" s="498">
        <f ca="1">ROUND(IF(DESONERACAO="sim",REFERENCIA.Desonerado,REFERENCIA.NaoDesonerado),2)</f>
        <v>491.67</v>
      </c>
      <c r="AH48" s="499">
        <f ca="1">ROUND(IF(ISNUMBER(ORÇAMENTO.OpcaoBDI),ORÇAMENTO.OpcaoBDI,IF(LEFT(ORÇAMENTO.OpcaoBDI,3)="BDI",HLOOKUP(ORÇAMENTO.OpcaoBDI,$F$4:$H$5,2,FALSE),0)),15-11*$AF$9)</f>
        <v>0.23380000000000001</v>
      </c>
      <c r="AJ48" s="501">
        <v>4</v>
      </c>
      <c r="AL48" s="527"/>
      <c r="AM48" s="381">
        <f t="shared" ca="1" si="0"/>
        <v>2426.48</v>
      </c>
      <c r="AN48" s="566">
        <f ca="1">ROUND(ORÇAMENTO.CustoUnitario*(1+$AH48),2)</f>
        <v>606.62</v>
      </c>
    </row>
    <row r="49" spans="1:40" ht="25.5" x14ac:dyDescent="0.2">
      <c r="A49" t="str">
        <f t="shared" si="1"/>
        <v>S</v>
      </c>
      <c r="B49">
        <f t="shared" ca="1" si="2"/>
        <v>2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IF($C49=1,OFFSET(E49,-1,0)+MAX(1,COUNTIF(QCI!$A$13:$A$24,OFFSET(ORÇAMENTO!E49,-1,0))),OFFSET(E49,-1,0))</f>
        <v>1</v>
      </c>
      <c r="F49">
        <f t="shared" ca="1" si="5"/>
        <v>5</v>
      </c>
      <c r="G49">
        <f t="shared" ca="1" si="6"/>
        <v>0</v>
      </c>
      <c r="H49">
        <f t="shared" ca="1" si="7"/>
        <v>0</v>
      </c>
      <c r="I49">
        <f t="shared" ca="1" si="8"/>
        <v>3</v>
      </c>
      <c r="J49">
        <f ca="1">IF(OR($C49="S",$C49=0),0,MATCH(0,OFFSET($D49,1,$C49,ROW($C$119)-ROW($C49)),0))</f>
        <v>0</v>
      </c>
      <c r="K49">
        <f ca="1">IF(OR($C49="S",$C49=0),0,MATCH(OFFSET($D49,0,$C49)+IF($C49&lt;&gt;1,1,COUNTIF(QCI!$A$13:$A$24,ORÇAMENTO!E49)),OFFSET($D49,1,$C49,ROW($C$119)-ROW($C49)),0))</f>
        <v>0</v>
      </c>
      <c r="L49" s="116" t="str">
        <f t="shared" ca="1" si="9"/>
        <v>F</v>
      </c>
      <c r="M49" s="117" t="s">
        <v>199</v>
      </c>
      <c r="N49" s="118" t="str">
        <f t="shared" ca="1" si="10"/>
        <v>Serviço</v>
      </c>
      <c r="O49" s="119" t="str">
        <f t="shared" ca="1" si="11"/>
        <v>1.5.3.</v>
      </c>
      <c r="P49" s="120" t="s">
        <v>474</v>
      </c>
      <c r="Q49" s="121" t="s">
        <v>498</v>
      </c>
      <c r="R49" s="122" t="str">
        <f ca="1">IF($C49="S",REFERENCIA.Descricao,"(digite a descrição aqui)")</f>
        <v>Placa em aço nº 16 galvanizado com película retrorrefletiva tipo I + SI - confecção</v>
      </c>
      <c r="S49" s="123" t="str">
        <f ca="1">REFERENCIA.Unidade</f>
        <v>m²</v>
      </c>
      <c r="T49" s="124">
        <f ca="1">OFFSET(CÁLCULO!H$15,ROW($T49)-ROW(T$15),0)</f>
        <v>0.75</v>
      </c>
      <c r="U49" s="125">
        <f t="shared" ca="1" si="17"/>
        <v>627.27</v>
      </c>
      <c r="V49" s="126" t="s">
        <v>156</v>
      </c>
      <c r="W49" s="124">
        <f ca="1">IF($C49="S",ROUND(IF(TIPOORCAMENTO="Proposto",ORÇAMENTO.CustoUnitario*(1+$AH49),ORÇAMENTO.PrecoUnitarioLicitado),15-13*$AF$10),0)</f>
        <v>773.93</v>
      </c>
      <c r="X49" s="127">
        <f ca="1">IF($C49="S",IF(Import.TipoArredondamento&lt;&gt;"TransfereGOV",VTOTAL1,SUM(OFFSET(CÁLCULO!$AA$15,ROW($X49)-ROW($X$15),1):OFFSET(CÁLCULO!$AL$15,ROW($X49)-ROW($X$15),-1))),IF($C49=0,0,ROUND(SomaAgrup,15-13*$AF$11)))</f>
        <v>580.45000000000005</v>
      </c>
      <c r="Y49" s="128" t="s">
        <v>245</v>
      </c>
      <c r="Z49" t="str">
        <f t="shared" ca="1" si="12"/>
        <v>RA</v>
      </c>
      <c r="AA49" s="129">
        <f ca="1">IF($C49="S",IF($Z49="CP",$X49,IF($Z49="RA",(($X49)*QCI!$AA$3),0)),SomaAgrup)</f>
        <v>580.45000000000005</v>
      </c>
      <c r="AB49" s="130">
        <f t="shared" ca="1" si="13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" t="str">
        <f ca="1">IF(AND($C49="S",ORÇAMENTO.CodBarra&lt;&gt;""),IF(ORÇAMENTO.Fonte="",ORÇAMENTO.CodBarra,CONCATENATE(ORÇAMENTO.Fonte," ",ORÇAMENTO.CodBarra)))</f>
        <v>SICRO 5213414</v>
      </c>
      <c r="AF49" s="13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21093</v>
      </c>
      <c r="AG49" s="498">
        <f ca="1">ROUND(IF(DESONERACAO="sim",REFERENCIA.Desonerado,REFERENCIA.NaoDesonerado),2)</f>
        <v>627.27</v>
      </c>
      <c r="AH49" s="499">
        <f t="shared" ca="1" si="14"/>
        <v>0.23380000000000001</v>
      </c>
      <c r="AJ49" s="501">
        <v>0.75</v>
      </c>
      <c r="AL49" s="527"/>
      <c r="AM49" s="381">
        <f t="shared" ca="1" si="0"/>
        <v>580.45000000000005</v>
      </c>
      <c r="AN49" s="566">
        <f t="shared" ca="1" si="15"/>
        <v>773.93</v>
      </c>
    </row>
    <row r="50" spans="1:40" ht="25.5" x14ac:dyDescent="0.2">
      <c r="A50" t="str">
        <f t="shared" si="1"/>
        <v>S</v>
      </c>
      <c r="B50">
        <f t="shared" ca="1" si="2"/>
        <v>2</v>
      </c>
      <c r="C50" t="str">
        <f t="shared" ca="1" si="3"/>
        <v>S</v>
      </c>
      <c r="D50">
        <f t="shared" ca="1" si="4"/>
        <v>0</v>
      </c>
      <c r="E50">
        <f ca="1">IF($C50=1,OFFSET(E50,-1,0)+MAX(1,COUNTIF(QCI!$A$13:$A$24,OFFSET(ORÇAMENTO!E50,-1,0))),OFFSET(E50,-1,0))</f>
        <v>1</v>
      </c>
      <c r="F50">
        <f t="shared" ca="1" si="5"/>
        <v>5</v>
      </c>
      <c r="G50">
        <f t="shared" ca="1" si="6"/>
        <v>0</v>
      </c>
      <c r="H50">
        <f t="shared" ca="1" si="7"/>
        <v>0</v>
      </c>
      <c r="I50">
        <f t="shared" ca="1" si="8"/>
        <v>4</v>
      </c>
      <c r="J50">
        <f ca="1">IF(OR($C50="S",$C50=0),0,MATCH(0,OFFSET($D50,1,$C50,ROW($C$119)-ROW($C50)),0))</f>
        <v>0</v>
      </c>
      <c r="K50">
        <f ca="1">IF(OR($C50="S",$C50=0),0,MATCH(OFFSET($D50,0,$C50)+IF($C50&lt;&gt;1,1,COUNTIF(QCI!$A$13:$A$24,ORÇAMENTO!E50)),OFFSET($D50,1,$C50,ROW($C$119)-ROW($C50)),0))</f>
        <v>0</v>
      </c>
      <c r="L50" s="116" t="str">
        <f t="shared" ca="1" si="9"/>
        <v>F</v>
      </c>
      <c r="M50" s="117" t="s">
        <v>199</v>
      </c>
      <c r="N50" s="118" t="str">
        <f t="shared" ca="1" si="10"/>
        <v>Serviço</v>
      </c>
      <c r="O50" s="119" t="str">
        <f t="shared" ca="1" si="11"/>
        <v>1.5.4.</v>
      </c>
      <c r="P50" s="120" t="s">
        <v>474</v>
      </c>
      <c r="Q50" s="121" t="s">
        <v>493</v>
      </c>
      <c r="R50" s="122" t="str">
        <f ca="1">IF($C50="S",REFERENCIA.Descricao,"(digite a descrição aqui)")</f>
        <v>Placa de regulamentação em aço D = 0,60 m - película retrorrefletiva tipo I + SI - fornecimento e implantação</v>
      </c>
      <c r="S50" s="123" t="str">
        <f ca="1">REFERENCIA.Unidade</f>
        <v>un</v>
      </c>
      <c r="T50" s="124">
        <f ca="1">OFFSET(CÁLCULO!H$15,ROW($T50)-ROW(T$15),0)</f>
        <v>2</v>
      </c>
      <c r="U50" s="125">
        <f t="shared" ca="1" si="17"/>
        <v>287.31</v>
      </c>
      <c r="V50" s="126" t="s">
        <v>156</v>
      </c>
      <c r="W50" s="124">
        <f ca="1">IF($C50="S",ROUND(IF(TIPOORCAMENTO="Proposto",ORÇAMENTO.CustoUnitario*(1+$AH50),ORÇAMENTO.PrecoUnitarioLicitado),15-13*$AF$10),0)</f>
        <v>354.48</v>
      </c>
      <c r="X50" s="127">
        <f ca="1">IF($C50="S",IF(Import.TipoArredondamento&lt;&gt;"TransfereGOV",VTOTAL1,SUM(OFFSET(CÁLCULO!$AA$15,ROW($X50)-ROW($X$15),1):OFFSET(CÁLCULO!$AL$15,ROW($X50)-ROW($X$15),-1))),IF($C50=0,0,ROUND(SomaAgrup,15-13*$AF$11)))</f>
        <v>708.96</v>
      </c>
      <c r="Y50" s="128" t="s">
        <v>245</v>
      </c>
      <c r="Z50" t="str">
        <f t="shared" ca="1" si="12"/>
        <v>RA</v>
      </c>
      <c r="AA50" s="129">
        <f ca="1">IF($C50="S",IF($Z50="CP",$X50,IF($Z50="RA",(($X50)*QCI!$AA$3),0)),SomaAgrup)</f>
        <v>708.96</v>
      </c>
      <c r="AB50" s="130">
        <f t="shared" ca="1" si="13"/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" t="str">
        <f ca="1">IF(AND($C50="S",ORÇAMENTO.CodBarra&lt;&gt;""),IF(ORÇAMENTO.Fonte="",ORÇAMENTO.CodBarra,CONCATENATE(ORÇAMENTO.Fonte," ",ORÇAMENTO.CodBarra)))</f>
        <v>SICRO 5213440</v>
      </c>
      <c r="AF50" s="13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21026</v>
      </c>
      <c r="AG50" s="498">
        <f ca="1">ROUND(IF(DESONERACAO="sim",REFERENCIA.Desonerado,REFERENCIA.NaoDesonerado),2)</f>
        <v>287.31</v>
      </c>
      <c r="AH50" s="499">
        <f t="shared" ca="1" si="14"/>
        <v>0.23380000000000001</v>
      </c>
      <c r="AJ50" s="501">
        <v>2</v>
      </c>
      <c r="AL50" s="527"/>
      <c r="AM50" s="381">
        <f t="shared" ca="1" si="0"/>
        <v>708.96</v>
      </c>
      <c r="AN50" s="566">
        <f t="shared" ca="1" si="15"/>
        <v>354.48</v>
      </c>
    </row>
    <row r="51" spans="1:40" ht="25.5" x14ac:dyDescent="0.2">
      <c r="A51" t="str">
        <f t="shared" si="1"/>
        <v>S</v>
      </c>
      <c r="B51">
        <f t="shared" ca="1" si="2"/>
        <v>2</v>
      </c>
      <c r="C51" t="str">
        <f t="shared" ca="1" si="3"/>
        <v>S</v>
      </c>
      <c r="D51">
        <f t="shared" ca="1" si="4"/>
        <v>0</v>
      </c>
      <c r="E51">
        <f ca="1">IF($C51=1,OFFSET(E51,-1,0)+MAX(1,COUNTIF(QCI!$A$13:$A$24,OFFSET(ORÇAMENTO!E51,-1,0))),OFFSET(E51,-1,0))</f>
        <v>1</v>
      </c>
      <c r="F51">
        <f t="shared" ca="1" si="5"/>
        <v>5</v>
      </c>
      <c r="G51">
        <f t="shared" ca="1" si="6"/>
        <v>0</v>
      </c>
      <c r="H51">
        <f t="shared" ca="1" si="7"/>
        <v>0</v>
      </c>
      <c r="I51">
        <f t="shared" ca="1" si="8"/>
        <v>5</v>
      </c>
      <c r="J51">
        <f ca="1">IF(OR($C51="S",$C51=0),0,MATCH(0,OFFSET($D51,1,$C51,ROW($C$119)-ROW($C51)),0))</f>
        <v>0</v>
      </c>
      <c r="K51">
        <f ca="1">IF(OR($C51="S",$C51=0),0,MATCH(OFFSET($D51,0,$C51)+IF($C51&lt;&gt;1,1,COUNTIF(QCI!$A$13:$A$24,ORÇAMENTO!E51)),OFFSET($D51,1,$C51,ROW($C$119)-ROW($C51)),0))</f>
        <v>0</v>
      </c>
      <c r="L51" s="116" t="str">
        <f t="shared" ca="1" si="9"/>
        <v>F</v>
      </c>
      <c r="M51" s="117" t="s">
        <v>199</v>
      </c>
      <c r="N51" s="118" t="str">
        <f t="shared" ca="1" si="10"/>
        <v>Serviço</v>
      </c>
      <c r="O51" s="119" t="str">
        <f t="shared" ca="1" si="11"/>
        <v>1.5.5.</v>
      </c>
      <c r="P51" s="120" t="s">
        <v>474</v>
      </c>
      <c r="Q51" s="121" t="s">
        <v>494</v>
      </c>
      <c r="R51" s="122" t="str">
        <f ca="1">IF($C51="S",REFERENCIA.Descricao,"(digite a descrição aqui)")</f>
        <v>Placa de regulamentação em aço, R2 lado 0,60 m - película retrorrefletiva tipo I + SI - fornecimento e implantação</v>
      </c>
      <c r="S51" s="123" t="str">
        <f ca="1">REFERENCIA.Unidade</f>
        <v>un</v>
      </c>
      <c r="T51" s="124">
        <f ca="1">OFFSET(CÁLCULO!H$15,ROW($T51)-ROW(T$15),0)</f>
        <v>2</v>
      </c>
      <c r="U51" s="125">
        <f t="shared" ca="1" si="17"/>
        <v>198.39</v>
      </c>
      <c r="V51" s="126" t="s">
        <v>156</v>
      </c>
      <c r="W51" s="124">
        <f ca="1">IF($C51="S",ROUND(IF(TIPOORCAMENTO="Proposto",ORÇAMENTO.CustoUnitario*(1+$AH51),ORÇAMENTO.PrecoUnitarioLicitado),15-13*$AF$10),0)</f>
        <v>244.77</v>
      </c>
      <c r="X51" s="127">
        <f ca="1">IF($C51="S",IF(Import.TipoArredondamento&lt;&gt;"TransfereGOV",VTOTAL1,SUM(OFFSET(CÁLCULO!$AA$15,ROW($X51)-ROW($X$15),1):OFFSET(CÁLCULO!$AL$15,ROW($X51)-ROW($X$15),-1))),IF($C51=0,0,ROUND(SomaAgrup,15-13*$AF$11)))</f>
        <v>489.54</v>
      </c>
      <c r="Y51" s="128" t="s">
        <v>245</v>
      </c>
      <c r="Z51" t="str">
        <f t="shared" ca="1" si="12"/>
        <v>RA</v>
      </c>
      <c r="AA51" s="129">
        <f ca="1">IF($C51="S",IF($Z51="CP",$X51,IF($Z51="RA",(($X51)*QCI!$AA$3),0)),SomaAgrup)</f>
        <v>489.54</v>
      </c>
      <c r="AB51" s="130">
        <f t="shared" ca="1" si="13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" t="str">
        <f ca="1">IF(AND($C51="S",ORÇAMENTO.CodBarra&lt;&gt;""),IF(ORÇAMENTO.Fonte="",ORÇAMENTO.CodBarra,CONCATENATE(ORÇAMENTO.Fonte," ",ORÇAMENTO.CodBarra)))</f>
        <v>SICRO 5213448</v>
      </c>
      <c r="AF51" s="13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21034</v>
      </c>
      <c r="AG51" s="498">
        <f ca="1">ROUND(IF(DESONERACAO="sim",REFERENCIA.Desonerado,REFERENCIA.NaoDesonerado),2)</f>
        <v>198.39</v>
      </c>
      <c r="AH51" s="499">
        <f t="shared" ca="1" si="14"/>
        <v>0.23380000000000001</v>
      </c>
      <c r="AJ51" s="501">
        <v>2</v>
      </c>
      <c r="AL51" s="527"/>
      <c r="AM51" s="381">
        <f t="shared" ca="1" si="0"/>
        <v>489.54</v>
      </c>
      <c r="AN51" s="566">
        <f t="shared" ca="1" si="15"/>
        <v>244.77</v>
      </c>
    </row>
    <row r="52" spans="1:40" ht="25.5" x14ac:dyDescent="0.2">
      <c r="A52" t="str">
        <f t="shared" si="1"/>
        <v>S</v>
      </c>
      <c r="B52">
        <f t="shared" ca="1" si="2"/>
        <v>2</v>
      </c>
      <c r="C52" t="str">
        <f t="shared" ca="1" si="3"/>
        <v>S</v>
      </c>
      <c r="D52">
        <f t="shared" ca="1" si="4"/>
        <v>0</v>
      </c>
      <c r="E52">
        <f ca="1">IF($C52=1,OFFSET(E52,-1,0)+MAX(1,COUNTIF(QCI!$A$13:$A$24,OFFSET(ORÇAMENTO!E52,-1,0))),OFFSET(E52,-1,0))</f>
        <v>1</v>
      </c>
      <c r="F52">
        <f t="shared" ca="1" si="5"/>
        <v>5</v>
      </c>
      <c r="G52">
        <f t="shared" ca="1" si="6"/>
        <v>0</v>
      </c>
      <c r="H52">
        <f t="shared" ca="1" si="7"/>
        <v>0</v>
      </c>
      <c r="I52">
        <f t="shared" ca="1" si="8"/>
        <v>6</v>
      </c>
      <c r="J52">
        <f ca="1">IF(OR($C52="S",$C52=0),0,MATCH(0,OFFSET($D52,1,$C52,ROW($C$119)-ROW($C52)),0))</f>
        <v>0</v>
      </c>
      <c r="K52">
        <f ca="1">IF(OR($C52="S",$C52=0),0,MATCH(OFFSET($D52,0,$C52)+IF($C52&lt;&gt;1,1,COUNTIF(QCI!$A$13:$A$24,ORÇAMENTO!E52)),OFFSET($D52,1,$C52,ROW($C$119)-ROW($C52)),0))</f>
        <v>0</v>
      </c>
      <c r="L52" s="116" t="str">
        <f t="shared" ca="1" si="9"/>
        <v>F</v>
      </c>
      <c r="M52" s="117" t="s">
        <v>199</v>
      </c>
      <c r="N52" s="118" t="str">
        <f t="shared" ca="1" si="10"/>
        <v>Serviço</v>
      </c>
      <c r="O52" s="119" t="str">
        <f t="shared" ca="1" si="11"/>
        <v>1.5.6.</v>
      </c>
      <c r="P52" s="120" t="s">
        <v>474</v>
      </c>
      <c r="Q52" s="121" t="s">
        <v>495</v>
      </c>
      <c r="R52" s="122" t="str">
        <f ca="1">IF($C52="S",REFERENCIA.Descricao,"(digite a descrição aqui)")</f>
        <v>Placa de regulamentação em aço, R1 lado 0,248 m - película retrorrefletiva tipo I + SI - fornecimento e implantação</v>
      </c>
      <c r="S52" s="123" t="str">
        <f ca="1">REFERENCIA.Unidade</f>
        <v>un</v>
      </c>
      <c r="T52" s="124">
        <f ca="1">OFFSET(CÁLCULO!H$15,ROW($T52)-ROW(T$15),0)</f>
        <v>1</v>
      </c>
      <c r="U52" s="125">
        <f t="shared" ca="1" si="17"/>
        <v>287.37</v>
      </c>
      <c r="V52" s="126" t="s">
        <v>156</v>
      </c>
      <c r="W52" s="124">
        <f ca="1">IF($C52="S",ROUND(IF(TIPOORCAMENTO="Proposto",ORÇAMENTO.CustoUnitario*(1+$AH52),ORÇAMENTO.PrecoUnitarioLicitado),15-13*$AF$10),0)</f>
        <v>354.56</v>
      </c>
      <c r="X52" s="127">
        <f ca="1">IF($C52="S",IF(Import.TipoArredondamento&lt;&gt;"TransfereGOV",VTOTAL1,SUM(OFFSET(CÁLCULO!$AA$15,ROW($X52)-ROW($X$15),1):OFFSET(CÁLCULO!$AL$15,ROW($X52)-ROW($X$15),-1))),IF($C52=0,0,ROUND(SomaAgrup,15-13*$AF$11)))</f>
        <v>354.56</v>
      </c>
      <c r="Y52" s="128" t="s">
        <v>245</v>
      </c>
      <c r="Z52" t="str">
        <f t="shared" ca="1" si="12"/>
        <v>RA</v>
      </c>
      <c r="AA52" s="129">
        <f ca="1">IF($C52="S",IF($Z52="CP",$X52,IF($Z52="RA",(($X52)*QCI!$AA$3),0)),SomaAgrup)</f>
        <v>354.56</v>
      </c>
      <c r="AB52" s="130">
        <f t="shared" ca="1" si="13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SICRO 5213444</v>
      </c>
      <c r="AF52" s="13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21030</v>
      </c>
      <c r="AG52" s="498">
        <f ca="1">ROUND(IF(DESONERACAO="sim",REFERENCIA.Desonerado,REFERENCIA.NaoDesonerado),2)</f>
        <v>287.37</v>
      </c>
      <c r="AH52" s="499">
        <f t="shared" ca="1" si="14"/>
        <v>0.23380000000000001</v>
      </c>
      <c r="AJ52" s="501">
        <v>1</v>
      </c>
      <c r="AL52" s="527"/>
      <c r="AM52" s="381">
        <f t="shared" ca="1" si="0"/>
        <v>354.56</v>
      </c>
      <c r="AN52" s="566">
        <f t="shared" ca="1" si="15"/>
        <v>354.56</v>
      </c>
    </row>
    <row r="53" spans="1:40" ht="25.5" x14ac:dyDescent="0.2">
      <c r="A53" t="str">
        <f>CHOOSE(1+LOG(1+2*(ORÇAMENTO.Nivel="Meta")+4*(ORÇAMENTO.Nivel="Nível 2")+8*(ORÇAMENTO.Nivel="Nível 3")+16*(ORÇAMENTO.Nivel="Nível 4")+32*(ORÇAMENTO.Nivel="Serviço"),2),0,1,2,3,4,"S")</f>
        <v>S</v>
      </c>
      <c r="B53">
        <f ca="1">IF(OR(C53="s",C53=0),OFFSET(B53,-1,0),C53)</f>
        <v>2</v>
      </c>
      <c r="C53" t="str">
        <f ca="1">IF(OFFSET(C53,-1,0)="L",1,IF(OFFSET(C53,-1,0)=1,2,IF(OR(A53="s",A53=0),"S",IF(AND(OFFSET(C53,-1,0)=2,A53=4),3,IF(AND(OR(OFFSET(C53,-1,0)="s",OFFSET(C53,-1,0)=0),A53&lt;&gt;"s",A53&gt;OFFSET(B53,-1,0)),OFFSET(B53,-1,0),A53)))))</f>
        <v>S</v>
      </c>
      <c r="D53">
        <f ca="1">IF(OR(C53="S",C53=0),0,IF(ISERROR(K53),J53,SMALL(J53:K53,1)))</f>
        <v>0</v>
      </c>
      <c r="E53">
        <f ca="1">IF($C53=1,OFFSET(E53,-1,0)+MAX(1,COUNTIF(QCI!$A$13:$A$24,OFFSET(ORÇAMENTO!E53,-1,0))),OFFSET(E53,-1,0))</f>
        <v>1</v>
      </c>
      <c r="F53">
        <f ca="1">IF($C53=1,0,IF($C53=2,OFFSET(F53,-1,0)+1,OFFSET(F53,-1,0)))</f>
        <v>5</v>
      </c>
      <c r="G53">
        <f ca="1">IF(AND($C53&lt;=2,$C53&lt;&gt;0),0,IF($C53=3,OFFSET(G53,-1,0)+1,OFFSET(G53,-1,0)))</f>
        <v>0</v>
      </c>
      <c r="H53">
        <f ca="1">IF(AND($C53&lt;=3,$C53&lt;&gt;0),0,IF($C53=4,OFFSET(H53,-1,0)+1,OFFSET(H53,-1,0)))</f>
        <v>0</v>
      </c>
      <c r="I53">
        <f ca="1">IF(AND($C53&lt;=4,$C53&lt;&gt;0),0,IF(AND($C53="S",$X53&gt;0),OFFSET(I53,-1,0)+1,OFFSET(I53,-1,0)))</f>
        <v>7</v>
      </c>
      <c r="J53">
        <f ca="1">IF(OR($C53="S",$C53=0),0,MATCH(0,OFFSET($D53,1,$C53,ROW($C$119)-ROW($C53)),0))</f>
        <v>0</v>
      </c>
      <c r="K53">
        <f ca="1">IF(OR($C53="S",$C53=0),0,MATCH(OFFSET($D53,0,$C53)+IF($C53&lt;&gt;1,1,COUNTIF(QCI!$A$13:$A$24,ORÇAMENTO!E53)),OFFSET($D53,1,$C53,ROW($C$119)-ROW($C53)),0))</f>
        <v>0</v>
      </c>
      <c r="L53" s="116" t="str">
        <f ca="1">IF(OR($X53&gt;0,$C53=1,$C53=2,$C53=3,$C53=4),"F","")</f>
        <v>F</v>
      </c>
      <c r="M53" s="117" t="s">
        <v>199</v>
      </c>
      <c r="N53" s="118" t="str">
        <f ca="1">CHOOSE(1+LOG(1+2*(C53=1)+4*(C53=2)+8*(C53=3)+16*(C53=4)+32*(C53="S"),2),"","Meta","Nível 2","Nível 3","Nível 4","Serviço")</f>
        <v>Serviço</v>
      </c>
      <c r="O53" s="119" t="str">
        <f ca="1">IF(OR($C53=0,$L53=""),"-",CONCATENATE(E53&amp;".",IF(AND($A$5&gt;=2,$C53&gt;=2),F53&amp;".",""),IF(AND($A$5&gt;=3,$C53&gt;=3),G53&amp;".",""),IF(AND($A$5&gt;=4,$C53&gt;=4),H53&amp;".",""),IF($C53="S",I53&amp;".","")))</f>
        <v>1.5.7.</v>
      </c>
      <c r="P53" s="120" t="s">
        <v>474</v>
      </c>
      <c r="Q53" s="121" t="s">
        <v>489</v>
      </c>
      <c r="R53" s="122" t="str">
        <f ca="1">IF($C53="S",REFERENCIA.Descricao,"(digite a descrição aqui)")</f>
        <v>Suporte metálico galvanizado para placa de advertência ou regulamentação - lado ou diâmetro de 0,60 m - fornecimento e implantação</v>
      </c>
      <c r="S53" s="123" t="str">
        <f ca="1">REFERENCIA.Unidade</f>
        <v>un</v>
      </c>
      <c r="T53" s="124">
        <f ca="1">OFFSET(CÁLCULO!H$15,ROW($T53)-ROW(T$15),0)</f>
        <v>12</v>
      </c>
      <c r="U53" s="125">
        <f t="shared" ca="1" si="17"/>
        <v>497.25</v>
      </c>
      <c r="V53" s="126" t="s">
        <v>156</v>
      </c>
      <c r="W53" s="124">
        <f ca="1">IF($C53="S",ROUND(IF(TIPOORCAMENTO="Proposto",ORÇAMENTO.CustoUnitario*(1+$AH53),ORÇAMENTO.PrecoUnitarioLicitado),15-13*$AF$10),0)</f>
        <v>613.51</v>
      </c>
      <c r="X53" s="127">
        <f ca="1">IF($C53="S",IF(Import.TipoArredondamento&lt;&gt;"TransfereGOV",VTOTAL1,SUM(OFFSET(CÁLCULO!$AA$15,ROW($X53)-ROW($X$15),1):OFFSET(CÁLCULO!$AL$15,ROW($X53)-ROW($X$15),-1))),IF($C53=0,0,ROUND(SomaAgrup,15-13*$AF$11)))</f>
        <v>7362.12</v>
      </c>
      <c r="Y53" s="128" t="s">
        <v>245</v>
      </c>
      <c r="Z53" t="str">
        <f ca="1">IF(AND($C53="S",$X53&gt;0),IF(ISBLANK($Y53),"RA",LEFT($Y53,2)),"")</f>
        <v>RA</v>
      </c>
      <c r="AA53" s="129">
        <f ca="1">IF($C53="S",IF($Z53="CP",$X53,IF($Z53="RA",(($X53)*QCI!$AA$3),0)),SomaAgrup)</f>
        <v>7362.12</v>
      </c>
      <c r="AB53" s="130">
        <f ca="1">IF($C53="S",IF($Z53="OU",ROUND($X53,2),0),SomaAgrup)</f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" t="str">
        <f ca="1">IF(AND($C53="S",ORÇAMENTO.CodBarra&lt;&gt;""),IF(ORÇAMENTO.Fonte="",ORÇAMENTO.CodBarra,CONCATENATE(ORÇAMENTO.Fonte," ",ORÇAMENTO.CodBarra)))</f>
        <v>SICRO 5213863</v>
      </c>
      <c r="AF53" s="13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21198</v>
      </c>
      <c r="AG53" s="498">
        <f ca="1">ROUND(IF(DESONERACAO="sim",REFERENCIA.Desonerado,REFERENCIA.NaoDesonerado),2)</f>
        <v>497.25</v>
      </c>
      <c r="AH53" s="499">
        <f ca="1">ROUND(IF(ISNUMBER(ORÇAMENTO.OpcaoBDI),ORÇAMENTO.OpcaoBDI,IF(LEFT(ORÇAMENTO.OpcaoBDI,3)="BDI",HLOOKUP(ORÇAMENTO.OpcaoBDI,$F$4:$H$5,2,FALSE),0)),15-11*$AF$9)</f>
        <v>0.23380000000000001</v>
      </c>
      <c r="AJ53" s="501">
        <v>12</v>
      </c>
      <c r="AL53" s="527"/>
      <c r="AM53" s="381">
        <f t="shared" ca="1" si="0"/>
        <v>7362.12</v>
      </c>
      <c r="AN53" s="566">
        <f ca="1">ROUND(ORÇAMENTO.CustoUnitario*(1+$AH53),2)</f>
        <v>613.51</v>
      </c>
    </row>
    <row r="54" spans="1:40" x14ac:dyDescent="0.2">
      <c r="A54" t="str">
        <f t="shared" si="1"/>
        <v>S</v>
      </c>
      <c r="B54">
        <f t="shared" ca="1" si="2"/>
        <v>2</v>
      </c>
      <c r="C54" t="str">
        <f t="shared" ca="1" si="3"/>
        <v>S</v>
      </c>
      <c r="D54">
        <f t="shared" ca="1" si="4"/>
        <v>0</v>
      </c>
      <c r="E54">
        <f ca="1">IF($C54=1,OFFSET(E54,-1,0)+MAX(1,COUNTIF(QCI!$A$13:$A$24,OFFSET(ORÇAMENTO!E54,-1,0))),OFFSET(E54,-1,0))</f>
        <v>1</v>
      </c>
      <c r="F54">
        <f t="shared" ca="1" si="5"/>
        <v>5</v>
      </c>
      <c r="G54">
        <f t="shared" ca="1" si="6"/>
        <v>0</v>
      </c>
      <c r="H54">
        <f t="shared" ca="1" si="7"/>
        <v>0</v>
      </c>
      <c r="I54">
        <f t="shared" ca="1" si="8"/>
        <v>8</v>
      </c>
      <c r="J54">
        <f ca="1">IF(OR($C54="S",$C54=0),0,MATCH(0,OFFSET($D54,1,$C54,ROW($C$119)-ROW($C54)),0))</f>
        <v>0</v>
      </c>
      <c r="K54">
        <f ca="1">IF(OR($C54="S",$C54=0),0,MATCH(OFFSET($D54,0,$C54)+IF($C54&lt;&gt;1,1,COUNTIF(QCI!$A$13:$A$24,ORÇAMENTO!E54)),OFFSET($D54,1,$C54,ROW($C$119)-ROW($C54)),0))</f>
        <v>0</v>
      </c>
      <c r="L54" s="116" t="str">
        <f t="shared" ca="1" si="9"/>
        <v>F</v>
      </c>
      <c r="M54" s="117" t="s">
        <v>199</v>
      </c>
      <c r="N54" s="118" t="str">
        <f t="shared" ca="1" si="10"/>
        <v>Serviço</v>
      </c>
      <c r="O54" s="119" t="str">
        <f t="shared" ca="1" si="11"/>
        <v>1.5.8.</v>
      </c>
      <c r="P54" s="120" t="s">
        <v>474</v>
      </c>
      <c r="Q54" s="121" t="s">
        <v>490</v>
      </c>
      <c r="R54" s="122" t="str">
        <f ca="1">IF($C54="S",REFERENCIA.Descricao,"(digite a descrição aqui)")</f>
        <v>Pintura de faixa com tinta acrílica - espessura de 0,6 mm</v>
      </c>
      <c r="S54" s="123" t="str">
        <f ca="1">REFERENCIA.Unidade</f>
        <v>m²</v>
      </c>
      <c r="T54" s="124">
        <f ca="1">OFFSET(CÁLCULO!H$15,ROW($T54)-ROW(T$15),0)</f>
        <v>40.5</v>
      </c>
      <c r="U54" s="125">
        <f t="shared" ca="1" si="17"/>
        <v>27.85</v>
      </c>
      <c r="V54" s="126" t="s">
        <v>156</v>
      </c>
      <c r="W54" s="124">
        <f ca="1">IF($C54="S",ROUND(IF(TIPOORCAMENTO="Proposto",ORÇAMENTO.CustoUnitario*(1+$AH54),ORÇAMENTO.PrecoUnitarioLicitado),15-13*$AF$10),0)</f>
        <v>34.36</v>
      </c>
      <c r="X54" s="127">
        <f ca="1">IF($C54="S",IF(Import.TipoArredondamento&lt;&gt;"TransfereGOV",VTOTAL1,SUM(OFFSET(CÁLCULO!$AA$15,ROW($X54)-ROW($X$15),1):OFFSET(CÁLCULO!$AL$15,ROW($X54)-ROW($X$15),-1))),IF($C54=0,0,ROUND(SomaAgrup,15-13*$AF$11)))</f>
        <v>1391.58</v>
      </c>
      <c r="Y54" s="128" t="s">
        <v>245</v>
      </c>
      <c r="Z54" t="str">
        <f t="shared" ca="1" si="12"/>
        <v>RA</v>
      </c>
      <c r="AA54" s="129">
        <f ca="1">IF($C54="S",IF($Z54="CP",$X54,IF($Z54="RA",(($X54)*QCI!$AA$3),0)),SomaAgrup)</f>
        <v>1391.58</v>
      </c>
      <c r="AB54" s="130">
        <f t="shared" ca="1" si="13"/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" t="str">
        <f ca="1">IF(AND($C54="S",ORÇAMENTO.CodBarra&lt;&gt;""),IF(ORÇAMENTO.Fonte="",ORÇAMENTO.CodBarra,CONCATENATE(ORÇAMENTO.Fonte," ",ORÇAMENTO.CodBarra)))</f>
        <v>SICRO 5213401</v>
      </c>
      <c r="AF54" s="13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21001</v>
      </c>
      <c r="AG54" s="498">
        <f ca="1">ROUND(IF(DESONERACAO="sim",REFERENCIA.Desonerado,REFERENCIA.NaoDesonerado),2)</f>
        <v>27.85</v>
      </c>
      <c r="AH54" s="499">
        <f t="shared" ca="1" si="14"/>
        <v>0.23380000000000001</v>
      </c>
      <c r="AJ54" s="501">
        <v>40.5</v>
      </c>
      <c r="AL54" s="527"/>
      <c r="AM54" s="381">
        <f t="shared" ca="1" si="0"/>
        <v>1391.58</v>
      </c>
      <c r="AN54" s="566">
        <f t="shared" ca="1" si="15"/>
        <v>34.36</v>
      </c>
    </row>
    <row r="55" spans="1:40" x14ac:dyDescent="0.2">
      <c r="A55">
        <f t="shared" si="1"/>
        <v>1</v>
      </c>
      <c r="B55">
        <f t="shared" ca="1" si="2"/>
        <v>1</v>
      </c>
      <c r="C55">
        <f t="shared" ca="1" si="3"/>
        <v>1</v>
      </c>
      <c r="D55">
        <f t="shared" ca="1" si="4"/>
        <v>32</v>
      </c>
      <c r="E55">
        <f ca="1">IF($C55=1,OFFSET(E55,-1,0)+MAX(1,COUNTIF(QCI!$A$13:$A$24,OFFSET(ORÇAMENTO!E55,-1,0))),OFFSET(E55,-1,0))</f>
        <v>2</v>
      </c>
      <c r="F55">
        <f t="shared" ca="1" si="5"/>
        <v>0</v>
      </c>
      <c r="G55">
        <f t="shared" ca="1" si="6"/>
        <v>0</v>
      </c>
      <c r="H55">
        <f t="shared" ca="1" si="7"/>
        <v>0</v>
      </c>
      <c r="I55">
        <f t="shared" ca="1" si="8"/>
        <v>0</v>
      </c>
      <c r="J55">
        <f ca="1">IF(OR($C55="S",$C55=0),0,MATCH(0,OFFSET($D55,1,$C55,ROW($C$119)-ROW($C55)),0))</f>
        <v>64</v>
      </c>
      <c r="K55">
        <f ca="1">IF(OR($C55="S",$C55=0),0,MATCH(OFFSET($D55,0,$C55)+IF($C55&lt;&gt;1,1,COUNTIF(QCI!$A$13:$A$24,ORÇAMENTO!E55)),OFFSET($D55,1,$C55,ROW($C$119)-ROW($C55)),0))</f>
        <v>32</v>
      </c>
      <c r="L55" s="116" t="str">
        <f t="shared" ca="1" si="9"/>
        <v>F</v>
      </c>
      <c r="M55" s="117" t="s">
        <v>195</v>
      </c>
      <c r="N55" s="118" t="str">
        <f t="shared" ca="1" si="10"/>
        <v>Meta</v>
      </c>
      <c r="O55" s="119" t="str">
        <f t="shared" ca="1" si="11"/>
        <v>2.</v>
      </c>
      <c r="P55" s="120" t="s">
        <v>247</v>
      </c>
      <c r="Q55" s="121"/>
      <c r="R55" s="122" t="s">
        <v>467</v>
      </c>
      <c r="S55" s="123" t="str">
        <f ca="1">REFERENCIA.Unidade</f>
        <v>-</v>
      </c>
      <c r="T55" s="124">
        <f ca="1">OFFSET(CÁLCULO!H$15,ROW($T55)-ROW(T$15),0)</f>
        <v>0</v>
      </c>
      <c r="U55" s="125">
        <f t="shared" ca="1" si="17"/>
        <v>0</v>
      </c>
      <c r="V55" s="126" t="s">
        <v>156</v>
      </c>
      <c r="W55" s="124">
        <f ca="1">IF($C55="S",ROUND(IF(TIPOORCAMENTO="Proposto",ORÇAMENTO.CustoUnitario*(1+$AH55),ORÇAMENTO.PrecoUnitarioLicitado),15-13*$AF$10),0)</f>
        <v>0</v>
      </c>
      <c r="X55" s="127">
        <f ca="1">IF($C55="S",IF(Import.TipoArredondamento&lt;&gt;"TransfereGOV",VTOTAL1,SUM(OFFSET(CÁLCULO!$AA$15,ROW($X55)-ROW($X$15),1):OFFSET(CÁLCULO!$AL$15,ROW($X55)-ROW($X$15),-1))),IF($C55=0,0,ROUND(SomaAgrup,15-13*$AF$11)))</f>
        <v>492496.24</v>
      </c>
      <c r="Y55" s="128" t="s">
        <v>245</v>
      </c>
      <c r="Z55" t="str">
        <f t="shared" ca="1" si="12"/>
        <v/>
      </c>
      <c r="AA55" s="129">
        <f ca="1">IF($C55="S",IF($Z55="CP",$X55,IF($Z55="RA",(($X55)*QCI!$AA$3),0)),SomaAgrup)</f>
        <v>492496.24</v>
      </c>
      <c r="AB55" s="130">
        <f t="shared" ca="1" si="13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>
        <f ca="1">IF(C55&lt;=CRONO.NivelExibicao,MAX($AD$15:OFFSET(AD55,-1,0))+IF($C55&lt;&gt;1,1,MAX(1,COUNTIF(QCI!$A$13:$A$24,OFFSET($E55,-1,0)))),"")</f>
        <v>7</v>
      </c>
      <c r="AE55" s="7" t="b">
        <f ca="1">IF(AND($C55="S",ORÇAMENTO.CodBarra&lt;&gt;""),IF(ORÇAMENTO.Fonte="",ORÇAMENTO.CodBarra,CONCATENATE(ORÇAMENTO.Fonte," ",ORÇAMENTO.CodBarra)))</f>
        <v>0</v>
      </c>
      <c r="AF55" s="13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(Sem Código)</v>
      </c>
      <c r="AG55" s="498">
        <f ca="1">ROUND(IF(DESONERACAO="sim",REFERENCIA.Desonerado,REFERENCIA.NaoDesonerado),2)</f>
        <v>0</v>
      </c>
      <c r="AH55" s="499">
        <f t="shared" ca="1" si="14"/>
        <v>0.23380000000000001</v>
      </c>
      <c r="AJ55" s="501"/>
      <c r="AL55" s="527"/>
      <c r="AM55" s="381">
        <f t="shared" ca="1" si="0"/>
        <v>492496.24</v>
      </c>
      <c r="AN55" s="566">
        <f t="shared" ca="1" si="15"/>
        <v>0</v>
      </c>
    </row>
    <row r="56" spans="1:40" x14ac:dyDescent="0.2">
      <c r="A56">
        <f t="shared" si="1"/>
        <v>2</v>
      </c>
      <c r="B56">
        <f t="shared" ca="1" si="2"/>
        <v>2</v>
      </c>
      <c r="C56">
        <f t="shared" ca="1" si="3"/>
        <v>2</v>
      </c>
      <c r="D56">
        <f t="shared" ca="1" si="4"/>
        <v>4</v>
      </c>
      <c r="E56">
        <f ca="1">IF($C56=1,OFFSET(E56,-1,0)+MAX(1,COUNTIF(QCI!$A$13:$A$24,OFFSET(ORÇAMENTO!E56,-1,0))),OFFSET(E56,-1,0))</f>
        <v>2</v>
      </c>
      <c r="F56">
        <f t="shared" ca="1" si="5"/>
        <v>1</v>
      </c>
      <c r="G56">
        <f t="shared" ca="1" si="6"/>
        <v>0</v>
      </c>
      <c r="H56">
        <f t="shared" ca="1" si="7"/>
        <v>0</v>
      </c>
      <c r="I56">
        <f t="shared" ca="1" si="8"/>
        <v>0</v>
      </c>
      <c r="J56">
        <f ca="1">IF(OR($C56="S",$C56=0),0,MATCH(0,OFFSET($D56,1,$C56,ROW($C$119)-ROW($C56)),0))</f>
        <v>31</v>
      </c>
      <c r="K56">
        <f ca="1">IF(OR($C56="S",$C56=0),0,MATCH(OFFSET($D56,0,$C56)+IF($C56&lt;&gt;1,1,COUNTIF(QCI!$A$13:$A$24,ORÇAMENTO!E56)),OFFSET($D56,1,$C56,ROW($C$119)-ROW($C56)),0))</f>
        <v>4</v>
      </c>
      <c r="L56" s="116" t="str">
        <f t="shared" ca="1" si="9"/>
        <v>F</v>
      </c>
      <c r="M56" s="117" t="s">
        <v>196</v>
      </c>
      <c r="N56" s="118" t="str">
        <f t="shared" ca="1" si="10"/>
        <v>Nível 2</v>
      </c>
      <c r="O56" s="119" t="str">
        <f t="shared" ca="1" si="11"/>
        <v>2.1.</v>
      </c>
      <c r="P56" s="120" t="s">
        <v>247</v>
      </c>
      <c r="Q56" s="121"/>
      <c r="R56" s="122" t="s">
        <v>465</v>
      </c>
      <c r="S56" s="123" t="str">
        <f ca="1">REFERENCIA.Unidade</f>
        <v>-</v>
      </c>
      <c r="T56" s="124">
        <f ca="1">OFFSET(CÁLCULO!H$15,ROW($T56)-ROW(T$15),0)</f>
        <v>0</v>
      </c>
      <c r="U56" s="125">
        <f t="shared" ca="1" si="17"/>
        <v>0</v>
      </c>
      <c r="V56" s="126" t="s">
        <v>156</v>
      </c>
      <c r="W56" s="124">
        <f ca="1">IF($C56="S",ROUND(IF(TIPOORCAMENTO="Proposto",ORÇAMENTO.CustoUnitario*(1+$AH56),ORÇAMENTO.PrecoUnitarioLicitado),15-13*$AF$10),0)</f>
        <v>0</v>
      </c>
      <c r="X56" s="127">
        <f ca="1">IF($C56="S",IF(Import.TipoArredondamento&lt;&gt;"TransfereGOV",VTOTAL1,SUM(OFFSET(CÁLCULO!$AA$15,ROW($X56)-ROW($X$15),1):OFFSET(CÁLCULO!$AL$15,ROW($X56)-ROW($X$15),-1))),IF($C56=0,0,ROUND(SomaAgrup,15-13*$AF$11)))</f>
        <v>8049.5</v>
      </c>
      <c r="Y56" s="128" t="s">
        <v>245</v>
      </c>
      <c r="Z56" t="str">
        <f t="shared" ca="1" si="12"/>
        <v/>
      </c>
      <c r="AA56" s="129">
        <f ca="1">IF($C56="S",IF($Z56="CP",$X56,IF($Z56="RA",(($X56)*QCI!$AA$3),0)),SomaAgrup)</f>
        <v>8049.5</v>
      </c>
      <c r="AB56" s="130">
        <f t="shared" ca="1" si="13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>
        <f ca="1">IF(C56&lt;=CRONO.NivelExibicao,MAX($AD$15:OFFSET(AD56,-1,0))+IF($C56&lt;&gt;1,1,MAX(1,COUNTIF(QCI!$A$13:$A$24,OFFSET($E56,-1,0)))),"")</f>
        <v>8</v>
      </c>
      <c r="AE56" s="7" t="b">
        <f ca="1">IF(AND($C56="S",ORÇAMENTO.CodBarra&lt;&gt;""),IF(ORÇAMENTO.Fonte="",ORÇAMENTO.CodBarra,CONCATENATE(ORÇAMENTO.Fonte," ",ORÇAMENTO.CodBarra)))</f>
        <v>0</v>
      </c>
      <c r="AF56" s="13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(Sem Código)</v>
      </c>
      <c r="AG56" s="498">
        <f ca="1">ROUND(IF(DESONERACAO="sim",REFERENCIA.Desonerado,REFERENCIA.NaoDesonerado),2)</f>
        <v>0</v>
      </c>
      <c r="AH56" s="499">
        <f t="shared" ca="1" si="14"/>
        <v>0.23380000000000001</v>
      </c>
      <c r="AJ56" s="501"/>
      <c r="AL56" s="527"/>
      <c r="AM56" s="381">
        <f t="shared" ca="1" si="0"/>
        <v>8049.5</v>
      </c>
      <c r="AN56" s="566">
        <f t="shared" ca="1" si="15"/>
        <v>0</v>
      </c>
    </row>
    <row r="57" spans="1:40" ht="25.5" x14ac:dyDescent="0.2">
      <c r="A57" t="str">
        <f t="shared" si="1"/>
        <v>S</v>
      </c>
      <c r="B57">
        <f t="shared" ca="1" si="2"/>
        <v>2</v>
      </c>
      <c r="C57" t="str">
        <f t="shared" ca="1" si="3"/>
        <v>S</v>
      </c>
      <c r="D57">
        <f t="shared" ca="1" si="4"/>
        <v>0</v>
      </c>
      <c r="E57">
        <f ca="1">IF($C57=1,OFFSET(E57,-1,0)+MAX(1,COUNTIF(QCI!$A$13:$A$24,OFFSET(ORÇAMENTO!E57,-1,0))),OFFSET(E57,-1,0))</f>
        <v>2</v>
      </c>
      <c r="F57">
        <f t="shared" ca="1" si="5"/>
        <v>1</v>
      </c>
      <c r="G57">
        <f t="shared" ca="1" si="6"/>
        <v>0</v>
      </c>
      <c r="H57">
        <f t="shared" ca="1" si="7"/>
        <v>0</v>
      </c>
      <c r="I57">
        <f t="shared" ca="1" si="8"/>
        <v>1</v>
      </c>
      <c r="J57">
        <f ca="1">IF(OR($C57="S",$C57=0),0,MATCH(0,OFFSET($D57,1,$C57,ROW($C$119)-ROW($C57)),0))</f>
        <v>0</v>
      </c>
      <c r="K57">
        <f ca="1">IF(OR($C57="S",$C57=0),0,MATCH(OFFSET($D57,0,$C57)+IF($C57&lt;&gt;1,1,COUNTIF(QCI!$A$13:$A$24,ORÇAMENTO!E57)),OFFSET($D57,1,$C57,ROW($C$119)-ROW($C57)),0))</f>
        <v>0</v>
      </c>
      <c r="L57" s="116" t="str">
        <f t="shared" ca="1" si="9"/>
        <v>F</v>
      </c>
      <c r="M57" s="117" t="s">
        <v>199</v>
      </c>
      <c r="N57" s="118" t="str">
        <f t="shared" ca="1" si="10"/>
        <v>Serviço</v>
      </c>
      <c r="O57" s="119" t="str">
        <f t="shared" ca="1" si="11"/>
        <v>2.1.1.</v>
      </c>
      <c r="P57" s="120" t="s">
        <v>474</v>
      </c>
      <c r="Q57" s="121" t="s">
        <v>475</v>
      </c>
      <c r="R57" s="122" t="str">
        <f ca="1">IF($C57="S",REFERENCIA.Descricao,"(digite a descrição aqui)")</f>
        <v>Placa em aço - 3,00 x 1,50 m - película retrorrefletiva tipo I + I - fornecimento e implantação</v>
      </c>
      <c r="S57" s="123" t="str">
        <f ca="1">REFERENCIA.Unidade</f>
        <v>un</v>
      </c>
      <c r="T57" s="124">
        <f ca="1">OFFSET(CÁLCULO!H$15,ROW($T57)-ROW(T$15),0)</f>
        <v>1</v>
      </c>
      <c r="U57" s="125">
        <f t="shared" ca="1" si="17"/>
        <v>1898.36</v>
      </c>
      <c r="V57" s="126" t="s">
        <v>156</v>
      </c>
      <c r="W57" s="124">
        <f ca="1">IF($C57="S",ROUND(IF(TIPOORCAMENTO="Proposto",ORÇAMENTO.CustoUnitario*(1+$AH57),ORÇAMENTO.PrecoUnitarioLicitado),15-13*$AF$10),0)</f>
        <v>2342.1999999999998</v>
      </c>
      <c r="X57" s="127">
        <f ca="1">IF($C57="S",IF(Import.TipoArredondamento&lt;&gt;"TransfereGOV",VTOTAL1,SUM(OFFSET(CÁLCULO!$AA$15,ROW($X57)-ROW($X$15),1):OFFSET(CÁLCULO!$AL$15,ROW($X57)-ROW($X$15),-1))),IF($C57=0,0,ROUND(SomaAgrup,15-13*$AF$11)))</f>
        <v>2342.1999999999998</v>
      </c>
      <c r="Y57" s="128" t="s">
        <v>245</v>
      </c>
      <c r="Z57" t="str">
        <f t="shared" ca="1" si="12"/>
        <v>RA</v>
      </c>
      <c r="AA57" s="129">
        <f ca="1">IF($C57="S",IF($Z57="CP",$X57,IF($Z57="RA",(($X57)*QCI!$AA$3),0)),SomaAgrup)</f>
        <v>2342.1999999999998</v>
      </c>
      <c r="AB57" s="130">
        <f t="shared" ca="1" si="13"/>
        <v>0</v>
      </c>
      <c r="AC57" s="131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IF(C57&lt;=CRONO.NivelExibicao,MAX($AD$15:OFFSET(AD57,-1,0))+IF($C57&lt;&gt;1,1,MAX(1,COUNTIF(QCI!$A$13:$A$24,OFFSET($E57,-1,0)))),"")</f>
        <v/>
      </c>
      <c r="AE57" s="7" t="str">
        <f ca="1">IF(AND($C57="S",ORÇAMENTO.CodBarra&lt;&gt;""),IF(ORÇAMENTO.Fonte="",ORÇAMENTO.CodBarra,CONCATENATE(ORÇAMENTO.Fonte," ",ORÇAMENTO.CodBarra)))</f>
        <v>SICRO 5213490</v>
      </c>
      <c r="AF57" s="13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21062</v>
      </c>
      <c r="AG57" s="498">
        <f ca="1">ROUND(IF(DESONERACAO="sim",REFERENCIA.Desonerado,REFERENCIA.NaoDesonerado),2)</f>
        <v>1898.36</v>
      </c>
      <c r="AH57" s="499">
        <f t="shared" ca="1" si="14"/>
        <v>0.23380000000000001</v>
      </c>
      <c r="AJ57" s="501">
        <v>1</v>
      </c>
      <c r="AL57" s="527"/>
      <c r="AM57" s="381">
        <f t="shared" ca="1" si="0"/>
        <v>2342.1999999999998</v>
      </c>
      <c r="AN57" s="566">
        <f t="shared" ca="1" si="15"/>
        <v>2342.1999999999998</v>
      </c>
    </row>
    <row r="58" spans="1:40" s="577" customFormat="1" ht="25.5" x14ac:dyDescent="0.2">
      <c r="A58" s="577" t="str">
        <f>CHOOSE(1+LOG(1+2*(ORÇAMENTO.Nivel="Meta")+4*(ORÇAMENTO.Nivel="Nível 2")+8*(ORÇAMENTO.Nivel="Nível 3")+16*(ORÇAMENTO.Nivel="Nível 4")+32*(ORÇAMENTO.Nivel="Serviço"),2),0,1,2,3,4,"S")</f>
        <v>S</v>
      </c>
      <c r="B58" s="577">
        <f ca="1">IF(OR(C58="s",C58=0),OFFSET(B58,-1,0),C58)</f>
        <v>2</v>
      </c>
      <c r="C58" s="577" t="str">
        <f ca="1">IF(OFFSET(C58,-1,0)="L",1,IF(OFFSET(C58,-1,0)=1,2,IF(OR(A58="s",A58=0),"S",IF(AND(OFFSET(C58,-1,0)=2,A58=4),3,IF(AND(OR(OFFSET(C58,-1,0)="s",OFFSET(C58,-1,0)=0),A58&lt;&gt;"s",A58&gt;OFFSET(B58,-1,0)),OFFSET(B58,-1,0),A58)))))</f>
        <v>S</v>
      </c>
      <c r="D58" s="577">
        <f ca="1">IF(OR(C58="S",C58=0),0,IF(ISERROR(K58),J58,SMALL(J58:K58,1)))</f>
        <v>0</v>
      </c>
      <c r="E58" s="577">
        <f ca="1">IF($C58=1,OFFSET(E58,-1,0)+MAX(1,COUNTIF(QCI!$A$13:$A$24,OFFSET(ORÇAMENTO!E58,-1,0))),OFFSET(E58,-1,0))</f>
        <v>2</v>
      </c>
      <c r="F58" s="577">
        <f ca="1">IF($C58=1,0,IF($C58=2,OFFSET(F58,-1,0)+1,OFFSET(F58,-1,0)))</f>
        <v>1</v>
      </c>
      <c r="G58" s="577">
        <f ca="1">IF(AND($C58&lt;=2,$C58&lt;&gt;0),0,IF($C58=3,OFFSET(G58,-1,0)+1,OFFSET(G58,-1,0)))</f>
        <v>0</v>
      </c>
      <c r="H58" s="577">
        <f ca="1">IF(AND($C58&lt;=3,$C58&lt;&gt;0),0,IF($C58=4,OFFSET(H58,-1,0)+1,OFFSET(H58,-1,0)))</f>
        <v>0</v>
      </c>
      <c r="I58" s="577">
        <f ca="1">IF(AND($C58&lt;=4,$C58&lt;&gt;0),0,IF(AND($C58="S",$X58&gt;0),OFFSET(I58,-1,0)+1,OFFSET(I58,-1,0)))</f>
        <v>2</v>
      </c>
      <c r="J58" s="577">
        <f ca="1">IF(OR($C58="S",$C58=0),0,MATCH(0,OFFSET($D58,1,$C58,ROW($C$119)-ROW($C58)),0))</f>
        <v>0</v>
      </c>
      <c r="K58" s="577">
        <f ca="1">IF(OR($C58="S",$C58=0),0,MATCH(OFFSET($D58,0,$C58)+IF($C58&lt;&gt;1,1,COUNTIF(QCI!$A$13:$A$24,ORÇAMENTO!E58)),OFFSET($D58,1,$C58,ROW($C$119)-ROW($C58)),0))</f>
        <v>0</v>
      </c>
      <c r="L58" s="116" t="str">
        <f ca="1">IF(OR($X58&gt;0,$C58=1,$C58=2,$C58=3,$C58=4),"F","")</f>
        <v>F</v>
      </c>
      <c r="M58" s="117" t="s">
        <v>199</v>
      </c>
      <c r="N58" s="118" t="str">
        <f ca="1">CHOOSE(1+LOG(1+2*(C58=1)+4*(C58=2)+8*(C58=3)+16*(C58=4)+32*(C58="S"),2),"","Meta","Nível 2","Nível 3","Nível 4","Serviço")</f>
        <v>Serviço</v>
      </c>
      <c r="O58" s="119" t="str">
        <f ca="1">IF(OR($C58=0,$L58=""),"-",CONCATENATE(E58&amp;".",IF(AND($A$5&gt;=2,$C58&gt;=2),F58&amp;".",""),IF(AND($A$5&gt;=3,$C58&gt;=3),G58&amp;".",""),IF(AND($A$5&gt;=4,$C58&gt;=4),H58&amp;".",""),IF($C58="S",I58&amp;".","")))</f>
        <v>2.1.2.</v>
      </c>
      <c r="P58" s="120" t="s">
        <v>474</v>
      </c>
      <c r="Q58" s="121" t="s">
        <v>476</v>
      </c>
      <c r="R58" s="122" t="str">
        <f ca="1">IF($C58="S",REFERENCIA.Descricao,"(digite a descrição aqui)")</f>
        <v>Suporte para placa de sinalização em madeira de lei tratada 8 x 8 cm - fornecimento e implantação</v>
      </c>
      <c r="S58" s="123" t="str">
        <f ca="1">REFERENCIA.Unidade</f>
        <v>un</v>
      </c>
      <c r="T58" s="124">
        <f ca="1">OFFSET(CÁLCULO!H$15,ROW($T58)-ROW(T$15),0)</f>
        <v>1</v>
      </c>
      <c r="U58" s="125">
        <f t="shared" ca="1" si="17"/>
        <v>135.99</v>
      </c>
      <c r="V58" s="126" t="s">
        <v>156</v>
      </c>
      <c r="W58" s="124">
        <f ca="1">IF($C58="S",ROUND(IF(TIPOORCAMENTO="Proposto",ORÇAMENTO.CustoUnitario*(1+$AH58),ORÇAMENTO.PrecoUnitarioLicitado),15-13*$AF$10),0)</f>
        <v>167.78</v>
      </c>
      <c r="X58" s="127">
        <f ca="1">IF($C58="S",IF(Import.TipoArredondamento&lt;&gt;"TransfereGOV",VTOTAL1,SUM(OFFSET(CÁLCULO!$AA$15,ROW($X58)-ROW($X$15),1):OFFSET(CÁLCULO!$AL$15,ROW($X58)-ROW($X$15),-1))),IF($C58=0,0,ROUND(SomaAgrup,15-13*$AF$11)))</f>
        <v>167.78</v>
      </c>
      <c r="Y58" s="128" t="s">
        <v>245</v>
      </c>
      <c r="Z58" s="577" t="str">
        <f ca="1">IF(AND($C58="S",$X58&gt;0),IF(ISBLANK($Y58),"RA",LEFT($Y58,2)),"")</f>
        <v>RA</v>
      </c>
      <c r="AA58" s="129">
        <f ca="1">IF($C58="S",IF($Z58="CP",$X58,IF($Z58="RA",(($X58)*QCI!$AA$3),0)),SomaAgrup)</f>
        <v>167.78</v>
      </c>
      <c r="AB58" s="130">
        <f ca="1">IF($C58="S",IF($Z58="OU",ROUND($X58,2),0),SomaAgrup)</f>
        <v>0</v>
      </c>
      <c r="AC58" s="131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s="577" t="str">
        <f ca="1">IF(C58&lt;=CRONO.NivelExibicao,MAX($AD$15:OFFSET(AD58,-1,0))+IF($C58&lt;&gt;1,1,MAX(1,COUNTIF(QCI!$A$13:$A$24,OFFSET($E58,-1,0)))),"")</f>
        <v/>
      </c>
      <c r="AE58" s="7" t="str">
        <f ca="1">IF(AND($C58="S",ORÇAMENTO.CodBarra&lt;&gt;""),IF(ORÇAMENTO.Fonte="",ORÇAMENTO.CodBarra,CONCATENATE(ORÇAMENTO.Fonte," ",ORÇAMENTO.CodBarra)))</f>
        <v>SICRO 5216111</v>
      </c>
      <c r="AF58" s="576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21212</v>
      </c>
      <c r="AG58" s="498">
        <f ca="1">ROUND(IF(DESONERACAO="sim",REFERENCIA.Desonerado,REFERENCIA.NaoDesonerado),2)</f>
        <v>135.99</v>
      </c>
      <c r="AH58" s="499">
        <f ca="1">ROUND(IF(ISNUMBER(ORÇAMENTO.OpcaoBDI),ORÇAMENTO.OpcaoBDI,IF(LEFT(ORÇAMENTO.OpcaoBDI,3)="BDI",HLOOKUP(ORÇAMENTO.OpcaoBDI,$F$4:$H$5,2,FALSE),0)),15-11*$AF$9)</f>
        <v>0.23380000000000001</v>
      </c>
      <c r="AJ58" s="501">
        <v>1</v>
      </c>
      <c r="AL58" s="527"/>
      <c r="AM58" s="381">
        <f t="shared" ca="1" si="0"/>
        <v>167.78</v>
      </c>
      <c r="AN58" s="566">
        <f ca="1">ROUND(ORÇAMENTO.CustoUnitario*(1+$AH58),2)</f>
        <v>167.78</v>
      </c>
    </row>
    <row r="59" spans="1:40" s="577" customFormat="1" x14ac:dyDescent="0.2">
      <c r="A59" s="577" t="str">
        <f>CHOOSE(1+LOG(1+2*(ORÇAMENTO.Nivel="Meta")+4*(ORÇAMENTO.Nivel="Nível 2")+8*(ORÇAMENTO.Nivel="Nível 3")+16*(ORÇAMENTO.Nivel="Nível 4")+32*(ORÇAMENTO.Nivel="Serviço"),2),0,1,2,3,4,"S")</f>
        <v>S</v>
      </c>
      <c r="B59" s="577">
        <f ca="1">IF(OR(C59="s",C59=0),OFFSET(B59,-1,0),C59)</f>
        <v>2</v>
      </c>
      <c r="C59" s="577" t="str">
        <f ca="1">IF(OFFSET(C59,-1,0)="L",1,IF(OFFSET(C59,-1,0)=1,2,IF(OR(A59="s",A59=0),"S",IF(AND(OFFSET(C59,-1,0)=2,A59=4),3,IF(AND(OR(OFFSET(C59,-1,0)="s",OFFSET(C59,-1,0)=0),A59&lt;&gt;"s",A59&gt;OFFSET(B59,-1,0)),OFFSET(B59,-1,0),A59)))))</f>
        <v>S</v>
      </c>
      <c r="D59" s="577">
        <f ca="1">IF(OR(C59="S",C59=0),0,IF(ISERROR(K59),J59,SMALL(J59:K59,1)))</f>
        <v>0</v>
      </c>
      <c r="E59" s="577">
        <f ca="1">IF($C59=1,OFFSET(E59,-1,0)+MAX(1,COUNTIF(QCI!$A$13:$A$24,OFFSET(ORÇAMENTO!E59,-1,0))),OFFSET(E59,-1,0))</f>
        <v>2</v>
      </c>
      <c r="F59" s="577">
        <f ca="1">IF($C59=1,0,IF($C59=2,OFFSET(F59,-1,0)+1,OFFSET(F59,-1,0)))</f>
        <v>1</v>
      </c>
      <c r="G59" s="577">
        <f ca="1">IF(AND($C59&lt;=2,$C59&lt;&gt;0),0,IF($C59=3,OFFSET(G59,-1,0)+1,OFFSET(G59,-1,0)))</f>
        <v>0</v>
      </c>
      <c r="H59" s="577">
        <f ca="1">IF(AND($C59&lt;=3,$C59&lt;&gt;0),0,IF($C59=4,OFFSET(H59,-1,0)+1,OFFSET(H59,-1,0)))</f>
        <v>0</v>
      </c>
      <c r="I59" s="577">
        <f ca="1">IF(AND($C59&lt;=4,$C59&lt;&gt;0),0,IF(AND($C59="S",$X59&gt;0),OFFSET(I59,-1,0)+1,OFFSET(I59,-1,0)))</f>
        <v>3</v>
      </c>
      <c r="J59" s="577">
        <f ca="1">IF(OR($C59="S",$C59=0),0,MATCH(0,OFFSET($D59,1,$C59,ROW($C$119)-ROW($C59)),0))</f>
        <v>0</v>
      </c>
      <c r="K59" s="577">
        <f ca="1">IF(OR($C59="S",$C59=0),0,MATCH(OFFSET($D59,0,$C59)+IF($C59&lt;&gt;1,1,COUNTIF(QCI!$A$13:$A$24,ORÇAMENTO!E59)),OFFSET($D59,1,$C59,ROW($C$119)-ROW($C59)),0))</f>
        <v>0</v>
      </c>
      <c r="L59" s="116" t="str">
        <f ca="1">IF(OR($X59&gt;0,$C59=1,$C59=2,$C59=3,$C59=4),"F","")</f>
        <v>F</v>
      </c>
      <c r="M59" s="117" t="s">
        <v>199</v>
      </c>
      <c r="N59" s="118" t="str">
        <f ca="1">CHOOSE(1+LOG(1+2*(C59=1)+4*(C59=2)+8*(C59=3)+16*(C59=4)+32*(C59="S"),2),"","Meta","Nível 2","Nível 3","Nível 4","Serviço")</f>
        <v>Serviço</v>
      </c>
      <c r="O59" s="119" t="str">
        <f ca="1">IF(OR($C59=0,$L59=""),"-",CONCATENATE(E59&amp;".",IF(AND($A$5&gt;=2,$C59&gt;=2),F59&amp;".",""),IF(AND($A$5&gt;=3,$C59&gt;=3),G59&amp;".",""),IF(AND($A$5&gt;=4,$C59&gt;=4),H59&amp;".",""),IF($C59="S",I59&amp;".","")))</f>
        <v>2.1.3.</v>
      </c>
      <c r="P59" s="120" t="s">
        <v>450</v>
      </c>
      <c r="Q59" s="121" t="s">
        <v>496</v>
      </c>
      <c r="R59" s="122" t="str">
        <f ca="1">IF($C59="S",REFERENCIA.Descricao,"(digite a descrição aqui)")</f>
        <v xml:space="preserve">MOBILIZAÇÃO E DESMOBILIZAÇÃO </v>
      </c>
      <c r="S59" s="123" t="str">
        <f ca="1">REFERENCIA.Unidade</f>
        <v>UNID.</v>
      </c>
      <c r="T59" s="124">
        <f ca="1">OFFSET(CÁLCULO!H$15,ROW($T59)-ROW(T$15),0)</f>
        <v>1</v>
      </c>
      <c r="U59" s="125">
        <f t="shared" ca="1" si="17"/>
        <v>4489.8</v>
      </c>
      <c r="V59" s="126" t="s">
        <v>156</v>
      </c>
      <c r="W59" s="124">
        <f ca="1">IF($C59="S",ROUND(IF(TIPOORCAMENTO="Proposto",ORÇAMENTO.CustoUnitario*(1+$AH59),ORÇAMENTO.PrecoUnitarioLicitado),15-13*$AF$10),0)</f>
        <v>5539.52</v>
      </c>
      <c r="X59" s="127">
        <f ca="1">IF($C59="S",IF(Import.TipoArredondamento&lt;&gt;"TransfereGOV",VTOTAL1,SUM(OFFSET(CÁLCULO!$AA$15,ROW($X59)-ROW($X$15),1):OFFSET(CÁLCULO!$AL$15,ROW($X59)-ROW($X$15),-1))),IF($C59=0,0,ROUND(SomaAgrup,15-13*$AF$11)))</f>
        <v>5539.52</v>
      </c>
      <c r="Y59" s="128" t="s">
        <v>245</v>
      </c>
      <c r="Z59" s="577" t="str">
        <f ca="1">IF(AND($C59="S",$X59&gt;0),IF(ISBLANK($Y59),"RA",LEFT($Y59,2)),"")</f>
        <v>RA</v>
      </c>
      <c r="AA59" s="129">
        <f ca="1">IF($C59="S",IF($Z59="CP",$X59,IF($Z59="RA",(($X59)*QCI!$AA$3),0)),SomaAgrup)</f>
        <v>5539.52</v>
      </c>
      <c r="AB59" s="130">
        <f ca="1">IF($C59="S",IF($Z59="OU",ROUND($X59,2),0),SomaAgrup)</f>
        <v>0</v>
      </c>
      <c r="AC59" s="131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s="577" t="str">
        <f ca="1">IF(C59&lt;=CRONO.NivelExibicao,MAX($AD$15:OFFSET(AD59,-1,0))+IF($C59&lt;&gt;1,1,MAX(1,COUNTIF(QCI!$A$13:$A$24,OFFSET($E59,-1,0)))),"")</f>
        <v/>
      </c>
      <c r="AE59" s="7" t="str">
        <f ca="1">IF(AND($C59="S",ORÇAMENTO.CodBarra&lt;&gt;""),IF(ORÇAMENTO.Fonte="",ORÇAMENTO.CodBarra,CONCATENATE(ORÇAMENTO.Fonte," ",ORÇAMENTO.CodBarra)))</f>
        <v>Composição 5</v>
      </c>
      <c r="AF59" s="576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7</v>
      </c>
      <c r="AG59" s="498">
        <f ca="1">ROUND(IF(DESONERACAO="sim",REFERENCIA.Desonerado,REFERENCIA.NaoDesonerado),2)</f>
        <v>4489.8</v>
      </c>
      <c r="AH59" s="499">
        <f ca="1">ROUND(IF(ISNUMBER(ORÇAMENTO.OpcaoBDI),ORÇAMENTO.OpcaoBDI,IF(LEFT(ORÇAMENTO.OpcaoBDI,3)="BDI",HLOOKUP(ORÇAMENTO.OpcaoBDI,$F$4:$H$5,2,FALSE),0)),15-11*$AF$9)</f>
        <v>0.23380000000000001</v>
      </c>
      <c r="AJ59" s="501">
        <v>1</v>
      </c>
      <c r="AL59" s="527"/>
      <c r="AM59" s="381">
        <f t="shared" ca="1" si="0"/>
        <v>5539.52</v>
      </c>
      <c r="AN59" s="566">
        <f ca="1">ROUND(ORÇAMENTO.CustoUnitario*(1+$AH59),2)</f>
        <v>5539.52</v>
      </c>
    </row>
    <row r="60" spans="1:40" x14ac:dyDescent="0.2">
      <c r="A60">
        <f t="shared" si="1"/>
        <v>2</v>
      </c>
      <c r="B60">
        <f t="shared" ca="1" si="2"/>
        <v>2</v>
      </c>
      <c r="C60">
        <f t="shared" ca="1" si="3"/>
        <v>2</v>
      </c>
      <c r="D60">
        <f t="shared" ca="1" si="4"/>
        <v>4</v>
      </c>
      <c r="E60">
        <f ca="1">IF($C60=1,OFFSET(E60,-1,0)+MAX(1,COUNTIF(QCI!$A$13:$A$24,OFFSET(ORÇAMENTO!E60,-1,0))),OFFSET(E60,-1,0))</f>
        <v>2</v>
      </c>
      <c r="F60">
        <f t="shared" ca="1" si="5"/>
        <v>2</v>
      </c>
      <c r="G60">
        <f t="shared" ca="1" si="6"/>
        <v>0</v>
      </c>
      <c r="H60">
        <f t="shared" ca="1" si="7"/>
        <v>0</v>
      </c>
      <c r="I60">
        <f t="shared" ca="1" si="8"/>
        <v>0</v>
      </c>
      <c r="J60">
        <f ca="1">IF(OR($C60="S",$C60=0),0,MATCH(0,OFFSET($D60,1,$C60,ROW($C$119)-ROW($C60)),0))</f>
        <v>27</v>
      </c>
      <c r="K60">
        <f ca="1">IF(OR($C60="S",$C60=0),0,MATCH(OFFSET($D60,0,$C60)+IF($C60&lt;&gt;1,1,COUNTIF(QCI!$A$13:$A$24,ORÇAMENTO!E60)),OFFSET($D60,1,$C60,ROW($C$119)-ROW($C60)),0))</f>
        <v>4</v>
      </c>
      <c r="L60" s="116" t="str">
        <f t="shared" ca="1" si="9"/>
        <v>F</v>
      </c>
      <c r="M60" s="117" t="s">
        <v>196</v>
      </c>
      <c r="N60" s="118" t="str">
        <f t="shared" ca="1" si="10"/>
        <v>Nível 2</v>
      </c>
      <c r="O60" s="119" t="str">
        <f t="shared" ca="1" si="11"/>
        <v>2.2.</v>
      </c>
      <c r="P60" s="120" t="s">
        <v>247</v>
      </c>
      <c r="Q60" s="121"/>
      <c r="R60" s="122" t="s">
        <v>463</v>
      </c>
      <c r="S60" s="123" t="str">
        <f ca="1">REFERENCIA.Unidade</f>
        <v>-</v>
      </c>
      <c r="T60" s="124">
        <f ca="1">OFFSET(CÁLCULO!H$15,ROW($T60)-ROW(T$15),0)</f>
        <v>0</v>
      </c>
      <c r="U60" s="125">
        <f t="shared" ca="1" si="17"/>
        <v>0</v>
      </c>
      <c r="V60" s="126" t="s">
        <v>156</v>
      </c>
      <c r="W60" s="124">
        <f ca="1">IF($C60="S",ROUND(IF(TIPOORCAMENTO="Proposto",ORÇAMENTO.CustoUnitario*(1+$AH60),ORÇAMENTO.PrecoUnitarioLicitado),15-13*$AF$10),0)</f>
        <v>0</v>
      </c>
      <c r="X60" s="127">
        <f ca="1">IF($C60="S",IF(Import.TipoArredondamento&lt;&gt;"TransfereGOV",VTOTAL1,SUM(OFFSET(CÁLCULO!$AA$15,ROW($X60)-ROW($X$15),1):OFFSET(CÁLCULO!$AL$15,ROW($X60)-ROW($X$15),-1))),IF($C60=0,0,ROUND(SomaAgrup,15-13*$AF$11)))</f>
        <v>4969.3999999999996</v>
      </c>
      <c r="Y60" s="128" t="s">
        <v>245</v>
      </c>
      <c r="Z60" t="str">
        <f t="shared" ca="1" si="12"/>
        <v/>
      </c>
      <c r="AA60" s="129">
        <f ca="1">IF($C60="S",IF($Z60="CP",$X60,IF($Z60="RA",(($X60)*QCI!$AA$3),0)),SomaAgrup)</f>
        <v>4969.4000000000005</v>
      </c>
      <c r="AB60" s="130">
        <f t="shared" ca="1" si="13"/>
        <v>0</v>
      </c>
      <c r="AC60" s="131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>
        <f ca="1">IF(C60&lt;=CRONO.NivelExibicao,MAX($AD$15:OFFSET(AD60,-1,0))+IF($C60&lt;&gt;1,1,MAX(1,COUNTIF(QCI!$A$13:$A$24,OFFSET($E60,-1,0)))),"")</f>
        <v>9</v>
      </c>
      <c r="AE60" s="7" t="b">
        <f ca="1">IF(AND($C60="S",ORÇAMENTO.CodBarra&lt;&gt;""),IF(ORÇAMENTO.Fonte="",ORÇAMENTO.CodBarra,CONCATENATE(ORÇAMENTO.Fonte," ",ORÇAMENTO.CodBarra)))</f>
        <v>0</v>
      </c>
      <c r="AF60" s="13" t="str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(Sem Código)</v>
      </c>
      <c r="AG60" s="498">
        <f ca="1">ROUND(IF(DESONERACAO="sim",REFERENCIA.Desonerado,REFERENCIA.NaoDesonerado),2)</f>
        <v>0</v>
      </c>
      <c r="AH60" s="499">
        <f t="shared" ca="1" si="14"/>
        <v>0.23380000000000001</v>
      </c>
      <c r="AJ60" s="501"/>
      <c r="AL60" s="527"/>
      <c r="AM60" s="381">
        <f t="shared" ca="1" si="0"/>
        <v>4969.3999999999996</v>
      </c>
      <c r="AN60" s="566">
        <f t="shared" ca="1" si="15"/>
        <v>0</v>
      </c>
    </row>
    <row r="61" spans="1:40" x14ac:dyDescent="0.2">
      <c r="A61" t="str">
        <f t="shared" si="1"/>
        <v>S</v>
      </c>
      <c r="B61">
        <f t="shared" ca="1" si="2"/>
        <v>2</v>
      </c>
      <c r="C61" t="str">
        <f t="shared" ca="1" si="3"/>
        <v>S</v>
      </c>
      <c r="D61">
        <f t="shared" ca="1" si="4"/>
        <v>0</v>
      </c>
      <c r="E61">
        <f ca="1">IF($C61=1,OFFSET(E61,-1,0)+MAX(1,COUNTIF(QCI!$A$13:$A$24,OFFSET(ORÇAMENTO!E61,-1,0))),OFFSET(E61,-1,0))</f>
        <v>2</v>
      </c>
      <c r="F61">
        <f t="shared" ca="1" si="5"/>
        <v>2</v>
      </c>
      <c r="G61">
        <f t="shared" ca="1" si="6"/>
        <v>0</v>
      </c>
      <c r="H61">
        <f t="shared" ca="1" si="7"/>
        <v>0</v>
      </c>
      <c r="I61">
        <f t="shared" ca="1" si="8"/>
        <v>1</v>
      </c>
      <c r="J61">
        <f ca="1">IF(OR($C61="S",$C61=0),0,MATCH(0,OFFSET($D61,1,$C61,ROW($C$119)-ROW($C61)),0))</f>
        <v>0</v>
      </c>
      <c r="K61">
        <f ca="1">IF(OR($C61="S",$C61=0),0,MATCH(OFFSET($D61,0,$C61)+IF($C61&lt;&gt;1,1,COUNTIF(QCI!$A$13:$A$24,ORÇAMENTO!E61)),OFFSET($D61,1,$C61,ROW($C$119)-ROW($C61)),0))</f>
        <v>0</v>
      </c>
      <c r="L61" s="116" t="str">
        <f t="shared" ca="1" si="9"/>
        <v>F</v>
      </c>
      <c r="M61" s="117" t="s">
        <v>199</v>
      </c>
      <c r="N61" s="118" t="str">
        <f t="shared" ca="1" si="10"/>
        <v>Serviço</v>
      </c>
      <c r="O61" s="119" t="str">
        <f t="shared" ca="1" si="11"/>
        <v>2.2.1.</v>
      </c>
      <c r="P61" s="120" t="s">
        <v>474</v>
      </c>
      <c r="Q61" s="121" t="s">
        <v>487</v>
      </c>
      <c r="R61" s="122" t="str">
        <f ca="1">IF($C61="S",REFERENCIA.Descricao,"(digite a descrição aqui)")</f>
        <v>Engenheiro</v>
      </c>
      <c r="S61" s="123" t="str">
        <f ca="1">REFERENCIA.Unidade</f>
        <v>h</v>
      </c>
      <c r="T61" s="124">
        <f ca="1">OFFSET(CÁLCULO!H$15,ROW($T61)-ROW(T$15),0)</f>
        <v>10</v>
      </c>
      <c r="U61" s="125">
        <f t="shared" ca="1" si="17"/>
        <v>161.08000000000001</v>
      </c>
      <c r="V61" s="126" t="s">
        <v>156</v>
      </c>
      <c r="W61" s="124">
        <f ca="1">IF($C61="S",ROUND(IF(TIPOORCAMENTO="Proposto",ORÇAMENTO.CustoUnitario*(1+$AH61),ORÇAMENTO.PrecoUnitarioLicitado),15-13*$AF$10),0)</f>
        <v>198.74</v>
      </c>
      <c r="X61" s="127">
        <f ca="1">IF($C61="S",IF(Import.TipoArredondamento&lt;&gt;"TransfereGOV",VTOTAL1,SUM(OFFSET(CÁLCULO!$AA$15,ROW($X61)-ROW($X$15),1):OFFSET(CÁLCULO!$AL$15,ROW($X61)-ROW($X$15),-1))),IF($C61=0,0,ROUND(SomaAgrup,15-13*$AF$11)))</f>
        <v>1987.4</v>
      </c>
      <c r="Y61" s="128" t="s">
        <v>245</v>
      </c>
      <c r="Z61" t="str">
        <f t="shared" ca="1" si="12"/>
        <v>RA</v>
      </c>
      <c r="AA61" s="129">
        <f ca="1">IF($C61="S",IF($Z61="CP",$X61,IF($Z61="RA",(($X61)*QCI!$AA$3),0)),SomaAgrup)</f>
        <v>1987.4</v>
      </c>
      <c r="AB61" s="130">
        <f t="shared" ca="1" si="13"/>
        <v>0</v>
      </c>
      <c r="AC61" s="131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t="str">
        <f ca="1">IF(C61&lt;=CRONO.NivelExibicao,MAX($AD$15:OFFSET(AD61,-1,0))+IF($C61&lt;&gt;1,1,MAX(1,COUNTIF(QCI!$A$13:$A$24,OFFSET($E61,-1,0)))),"")</f>
        <v/>
      </c>
      <c r="AE61" s="7" t="str">
        <f ca="1">IF(AND($C61="S",ORÇAMENTO.CodBarra&lt;&gt;""),IF(ORÇAMENTO.Fonte="",ORÇAMENTO.CodBarra,CONCATENATE(ORÇAMENTO.Fonte," ",ORÇAMENTO.CodBarra)))</f>
        <v>SICRO P9888</v>
      </c>
      <c r="AF61" s="13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22477</v>
      </c>
      <c r="AG61" s="498">
        <f ca="1">ROUND(IF(DESONERACAO="sim",REFERENCIA.Desonerado,REFERENCIA.NaoDesonerado),2)</f>
        <v>161.08000000000001</v>
      </c>
      <c r="AH61" s="499">
        <f t="shared" ca="1" si="14"/>
        <v>0.23380000000000001</v>
      </c>
      <c r="AJ61" s="501">
        <v>10</v>
      </c>
      <c r="AL61" s="527"/>
      <c r="AM61" s="381">
        <f t="shared" ca="1" si="0"/>
        <v>1987.4</v>
      </c>
      <c r="AN61" s="566">
        <f t="shared" ca="1" si="15"/>
        <v>198.74</v>
      </c>
    </row>
    <row r="62" spans="1:40" s="577" customFormat="1" x14ac:dyDescent="0.2">
      <c r="A62" s="577" t="str">
        <f t="shared" si="1"/>
        <v>S</v>
      </c>
      <c r="B62" s="577">
        <f t="shared" ca="1" si="2"/>
        <v>2</v>
      </c>
      <c r="C62" s="577" t="str">
        <f t="shared" ca="1" si="3"/>
        <v>S</v>
      </c>
      <c r="D62" s="577">
        <f t="shared" ca="1" si="4"/>
        <v>0</v>
      </c>
      <c r="E62" s="577">
        <f ca="1">IF($C62=1,OFFSET(E62,-1,0)+MAX(1,COUNTIF(QCI!$A$13:$A$24,OFFSET(ORÇAMENTO!E62,-1,0))),OFFSET(E62,-1,0))</f>
        <v>2</v>
      </c>
      <c r="F62" s="577">
        <f t="shared" ca="1" si="5"/>
        <v>2</v>
      </c>
      <c r="G62" s="577">
        <f t="shared" ca="1" si="6"/>
        <v>0</v>
      </c>
      <c r="H62" s="577">
        <f t="shared" ca="1" si="7"/>
        <v>0</v>
      </c>
      <c r="I62" s="577">
        <f t="shared" ca="1" si="8"/>
        <v>2</v>
      </c>
      <c r="J62" s="577">
        <f ca="1">IF(OR($C62="S",$C62=0),0,MATCH(0,OFFSET($D62,1,$C62,ROW($C$119)-ROW($C62)),0))</f>
        <v>0</v>
      </c>
      <c r="K62" s="577">
        <f ca="1">IF(OR($C62="S",$C62=0),0,MATCH(OFFSET($D62,0,$C62)+IF($C62&lt;&gt;1,1,COUNTIF(QCI!$A$13:$A$24,ORÇAMENTO!E62)),OFFSET($D62,1,$C62,ROW($C$119)-ROW($C62)),0))</f>
        <v>0</v>
      </c>
      <c r="L62" s="116" t="str">
        <f t="shared" ca="1" si="9"/>
        <v>F</v>
      </c>
      <c r="M62" s="117" t="s">
        <v>199</v>
      </c>
      <c r="N62" s="118" t="str">
        <f t="shared" ca="1" si="10"/>
        <v>Serviço</v>
      </c>
      <c r="O62" s="119" t="str">
        <f t="shared" ca="1" si="11"/>
        <v>2.2.2.</v>
      </c>
      <c r="P62" s="120" t="s">
        <v>474</v>
      </c>
      <c r="Q62" s="121" t="s">
        <v>499</v>
      </c>
      <c r="R62" s="122" t="str">
        <f ca="1">IF($C62="S",REFERENCIA.Descricao,"(digite a descrição aqui)")</f>
        <v>Encarregado de pavimentação</v>
      </c>
      <c r="S62" s="123" t="str">
        <f ca="1">REFERENCIA.Unidade</f>
        <v>h</v>
      </c>
      <c r="T62" s="124">
        <f ca="1">OFFSET(CÁLCULO!H$15,ROW($T62)-ROW(T$15),0)</f>
        <v>40</v>
      </c>
      <c r="U62" s="125">
        <f t="shared" ca="1" si="17"/>
        <v>46.37</v>
      </c>
      <c r="V62" s="126" t="s">
        <v>156</v>
      </c>
      <c r="W62" s="124">
        <f ca="1">IF($C62="S",ROUND(IF(TIPOORCAMENTO="Proposto",ORÇAMENTO.CustoUnitario*(1+$AH62),ORÇAMENTO.PrecoUnitarioLicitado),15-13*$AF$10),0)</f>
        <v>57.21</v>
      </c>
      <c r="X62" s="127">
        <f ca="1">IF($C62="S",IF(Import.TipoArredondamento&lt;&gt;"TransfereGOV",VTOTAL1,SUM(OFFSET(CÁLCULO!$AA$15,ROW($X62)-ROW($X$15),1):OFFSET(CÁLCULO!$AL$15,ROW($X62)-ROW($X$15),-1))),IF($C62=0,0,ROUND(SomaAgrup,15-13*$AF$11)))</f>
        <v>2288.4</v>
      </c>
      <c r="Y62" s="128" t="s">
        <v>245</v>
      </c>
      <c r="Z62" s="577" t="str">
        <f t="shared" ca="1" si="12"/>
        <v>RA</v>
      </c>
      <c r="AA62" s="129">
        <f ca="1">IF($C62="S",IF($Z62="CP",$X62,IF($Z62="RA",(($X62)*QCI!$AA$3),0)),SomaAgrup)</f>
        <v>2288.4</v>
      </c>
      <c r="AB62" s="130">
        <f t="shared" ca="1" si="13"/>
        <v>0</v>
      </c>
      <c r="AC62" s="131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s="577" t="str">
        <f ca="1">IF(C62&lt;=CRONO.NivelExibicao,MAX($AD$15:OFFSET(AD62,-1,0))+IF($C62&lt;&gt;1,1,MAX(1,COUNTIF(QCI!$A$13:$A$24,OFFSET($E62,-1,0)))),"")</f>
        <v/>
      </c>
      <c r="AE62" s="7" t="str">
        <f ca="1">IF(AND($C62="S",ORÇAMENTO.CodBarra&lt;&gt;""),IF(ORÇAMENTO.Fonte="",ORÇAMENTO.CodBarra,CONCATENATE(ORÇAMENTO.Fonte," ",ORÇAMENTO.CodBarra)))</f>
        <v>SICRO P9874</v>
      </c>
      <c r="AF62" s="576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22464</v>
      </c>
      <c r="AG62" s="498">
        <f ca="1">ROUND(IF(DESONERACAO="sim",REFERENCIA.Desonerado,REFERENCIA.NaoDesonerado),2)</f>
        <v>46.37</v>
      </c>
      <c r="AH62" s="499">
        <f t="shared" ca="1" si="14"/>
        <v>0.23380000000000001</v>
      </c>
      <c r="AJ62" s="501">
        <v>40</v>
      </c>
      <c r="AL62" s="527"/>
      <c r="AM62" s="381">
        <f t="shared" ca="1" si="0"/>
        <v>2288.4</v>
      </c>
      <c r="AN62" s="566">
        <f t="shared" ca="1" si="15"/>
        <v>57.21</v>
      </c>
    </row>
    <row r="63" spans="1:40" x14ac:dyDescent="0.2">
      <c r="A63" t="str">
        <f t="shared" si="1"/>
        <v>S</v>
      </c>
      <c r="B63">
        <f t="shared" ca="1" si="2"/>
        <v>2</v>
      </c>
      <c r="C63" t="str">
        <f t="shared" ca="1" si="3"/>
        <v>S</v>
      </c>
      <c r="D63">
        <f t="shared" ca="1" si="4"/>
        <v>0</v>
      </c>
      <c r="E63">
        <f ca="1">IF($C63=1,OFFSET(E63,-1,0)+MAX(1,COUNTIF(QCI!$A$13:$A$24,OFFSET(ORÇAMENTO!E63,-1,0))),OFFSET(E63,-1,0))</f>
        <v>2</v>
      </c>
      <c r="F63">
        <f t="shared" ca="1" si="5"/>
        <v>2</v>
      </c>
      <c r="G63">
        <f t="shared" ca="1" si="6"/>
        <v>0</v>
      </c>
      <c r="H63">
        <f t="shared" ca="1" si="7"/>
        <v>0</v>
      </c>
      <c r="I63">
        <f t="shared" ca="1" si="8"/>
        <v>3</v>
      </c>
      <c r="J63">
        <f ca="1">IF(OR($C63="S",$C63=0),0,MATCH(0,OFFSET($D63,1,$C63,ROW($C$119)-ROW($C63)),0))</f>
        <v>0</v>
      </c>
      <c r="K63">
        <f ca="1">IF(OR($C63="S",$C63=0),0,MATCH(OFFSET($D63,0,$C63)+IF($C63&lt;&gt;1,1,COUNTIF(QCI!$A$13:$A$24,ORÇAMENTO!E63)),OFFSET($D63,1,$C63,ROW($C$119)-ROW($C63)),0))</f>
        <v>0</v>
      </c>
      <c r="L63" s="116" t="str">
        <f t="shared" ca="1" si="9"/>
        <v>F</v>
      </c>
      <c r="M63" s="117" t="s">
        <v>199</v>
      </c>
      <c r="N63" s="118" t="str">
        <f t="shared" ca="1" si="10"/>
        <v>Serviço</v>
      </c>
      <c r="O63" s="119" t="str">
        <f t="shared" ca="1" si="11"/>
        <v>2.2.3.</v>
      </c>
      <c r="P63" s="120" t="s">
        <v>474</v>
      </c>
      <c r="Q63" s="121" t="s">
        <v>488</v>
      </c>
      <c r="R63" s="122" t="str">
        <f ca="1">IF($C63="S",REFERENCIA.Descricao,"(digite a descrição aqui)")</f>
        <v>Auxiliar de topografia</v>
      </c>
      <c r="S63" s="123" t="str">
        <f ca="1">REFERENCIA.Unidade</f>
        <v>h</v>
      </c>
      <c r="T63" s="124">
        <f ca="1">OFFSET(CÁLCULO!H$15,ROW($T63)-ROW(T$15),0)</f>
        <v>20</v>
      </c>
      <c r="U63" s="125">
        <f t="shared" ca="1" si="17"/>
        <v>28.11</v>
      </c>
      <c r="V63" s="126" t="s">
        <v>156</v>
      </c>
      <c r="W63" s="124">
        <f ca="1">IF($C63="S",ROUND(IF(TIPOORCAMENTO="Proposto",ORÇAMENTO.CustoUnitario*(1+$AH63),ORÇAMENTO.PrecoUnitarioLicitado),15-13*$AF$10),0)</f>
        <v>34.68</v>
      </c>
      <c r="X63" s="127">
        <f ca="1">IF($C63="S",IF(Import.TipoArredondamento&lt;&gt;"TransfereGOV",VTOTAL1,SUM(OFFSET(CÁLCULO!$AA$15,ROW($X63)-ROW($X$15),1):OFFSET(CÁLCULO!$AL$15,ROW($X63)-ROW($X$15),-1))),IF($C63=0,0,ROUND(SomaAgrup,15-13*$AF$11)))</f>
        <v>693.6</v>
      </c>
      <c r="Y63" s="128" t="s">
        <v>245</v>
      </c>
      <c r="Z63" t="str">
        <f t="shared" ca="1" si="12"/>
        <v>RA</v>
      </c>
      <c r="AA63" s="129">
        <f ca="1">IF($C63="S",IF($Z63="CP",$X63,IF($Z63="RA",(($X63)*QCI!$AA$3),0)),SomaAgrup)</f>
        <v>693.6</v>
      </c>
      <c r="AB63" s="130">
        <f t="shared" ca="1" si="13"/>
        <v>0</v>
      </c>
      <c r="AC63" s="131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t="str">
        <f ca="1">IF(C63&lt;=CRONO.NivelExibicao,MAX($AD$15:OFFSET(AD63,-1,0))+IF($C63&lt;&gt;1,1,MAX(1,COUNTIF(QCI!$A$13:$A$24,OFFSET($E63,-1,0)))),"")</f>
        <v/>
      </c>
      <c r="AE63" s="7" t="str">
        <f ca="1">IF(AND($C63="S",ORÇAMENTO.CodBarra&lt;&gt;""),IF(ORÇAMENTO.Fonte="",ORÇAMENTO.CodBarra,CONCATENATE(ORÇAMENTO.Fonte," ",ORÇAMENTO.CodBarra)))</f>
        <v>SICRO P9828</v>
      </c>
      <c r="AF63" s="13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22428</v>
      </c>
      <c r="AG63" s="498">
        <f ca="1">ROUND(IF(DESONERACAO="sim",REFERENCIA.Desonerado,REFERENCIA.NaoDesonerado),2)</f>
        <v>28.11</v>
      </c>
      <c r="AH63" s="499">
        <f t="shared" ca="1" si="14"/>
        <v>0.23380000000000001</v>
      </c>
      <c r="AJ63" s="501">
        <v>20</v>
      </c>
      <c r="AL63" s="527"/>
      <c r="AM63" s="381">
        <f t="shared" ca="1" si="0"/>
        <v>693.6</v>
      </c>
      <c r="AN63" s="566">
        <f t="shared" ca="1" si="15"/>
        <v>34.68</v>
      </c>
    </row>
    <row r="64" spans="1:40" x14ac:dyDescent="0.2">
      <c r="A64">
        <f t="shared" si="1"/>
        <v>2</v>
      </c>
      <c r="B64">
        <f t="shared" ca="1" si="2"/>
        <v>2</v>
      </c>
      <c r="C64">
        <f t="shared" ca="1" si="3"/>
        <v>2</v>
      </c>
      <c r="D64">
        <f t="shared" ca="1" si="4"/>
        <v>9</v>
      </c>
      <c r="E64">
        <f ca="1">IF($C64=1,OFFSET(E64,-1,0)+MAX(1,COUNTIF(QCI!$A$13:$A$24,OFFSET(ORÇAMENTO!E64,-1,0))),OFFSET(E64,-1,0))</f>
        <v>2</v>
      </c>
      <c r="F64">
        <f t="shared" ca="1" si="5"/>
        <v>3</v>
      </c>
      <c r="G64">
        <f t="shared" ca="1" si="6"/>
        <v>0</v>
      </c>
      <c r="H64">
        <f t="shared" ca="1" si="7"/>
        <v>0</v>
      </c>
      <c r="I64">
        <f t="shared" ca="1" si="8"/>
        <v>0</v>
      </c>
      <c r="J64">
        <f ca="1">IF(OR($C64="S",$C64=0),0,MATCH(0,OFFSET($D64,1,$C64,ROW($C$119)-ROW($C64)),0))</f>
        <v>23</v>
      </c>
      <c r="K64">
        <f ca="1">IF(OR($C64="S",$C64=0),0,MATCH(OFFSET($D64,0,$C64)+IF($C64&lt;&gt;1,1,COUNTIF(QCI!$A$13:$A$24,ORÇAMENTO!E64)),OFFSET($D64,1,$C64,ROW($C$119)-ROW($C64)),0))</f>
        <v>9</v>
      </c>
      <c r="L64" s="116" t="str">
        <f t="shared" ca="1" si="9"/>
        <v>F</v>
      </c>
      <c r="M64" s="117" t="s">
        <v>196</v>
      </c>
      <c r="N64" s="118" t="str">
        <f t="shared" ca="1" si="10"/>
        <v>Nível 2</v>
      </c>
      <c r="O64" s="119" t="str">
        <f t="shared" ca="1" si="11"/>
        <v>2.3.</v>
      </c>
      <c r="P64" s="120" t="s">
        <v>247</v>
      </c>
      <c r="Q64" s="121"/>
      <c r="R64" s="122" t="s">
        <v>470</v>
      </c>
      <c r="S64" s="123" t="str">
        <f ca="1">REFERENCIA.Unidade</f>
        <v>-</v>
      </c>
      <c r="T64" s="124">
        <f ca="1">OFFSET(CÁLCULO!H$15,ROW($T64)-ROW(T$15),0)</f>
        <v>0</v>
      </c>
      <c r="U64" s="125">
        <f t="shared" ca="1" si="17"/>
        <v>0</v>
      </c>
      <c r="V64" s="126" t="s">
        <v>156</v>
      </c>
      <c r="W64" s="124">
        <f ca="1">IF($C64="S",ROUND(IF(TIPOORCAMENTO="Proposto",ORÇAMENTO.CustoUnitario*(1+$AH64),ORÇAMENTO.PrecoUnitarioLicitado),15-13*$AF$10),0)</f>
        <v>0</v>
      </c>
      <c r="X64" s="127">
        <f ca="1">IF($C64="S",IF(Import.TipoArredondamento&lt;&gt;"TransfereGOV",VTOTAL1,SUM(OFFSET(CÁLCULO!$AA$15,ROW($X64)-ROW($X$15),1):OFFSET(CÁLCULO!$AL$15,ROW($X64)-ROW($X$15),-1))),IF($C64=0,0,ROUND(SomaAgrup,15-13*$AF$11)))</f>
        <v>116233.07</v>
      </c>
      <c r="Y64" s="128" t="s">
        <v>245</v>
      </c>
      <c r="Z64" t="str">
        <f t="shared" ca="1" si="12"/>
        <v/>
      </c>
      <c r="AA64" s="129">
        <f ca="1">IF($C64="S",IF($Z64="CP",$X64,IF($Z64="RA",(($X64)*QCI!$AA$3),0)),SomaAgrup)</f>
        <v>116233.06999999999</v>
      </c>
      <c r="AB64" s="130">
        <f t="shared" ca="1" si="13"/>
        <v>0</v>
      </c>
      <c r="AC64" s="131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>
        <f ca="1">IF(C64&lt;=CRONO.NivelExibicao,MAX($AD$15:OFFSET(AD64,-1,0))+IF($C64&lt;&gt;1,1,MAX(1,COUNTIF(QCI!$A$13:$A$24,OFFSET($E64,-1,0)))),"")</f>
        <v>10</v>
      </c>
      <c r="AE64" s="7" t="b">
        <f ca="1">IF(AND($C64="S",ORÇAMENTO.CodBarra&lt;&gt;""),IF(ORÇAMENTO.Fonte="",ORÇAMENTO.CodBarra,CONCATENATE(ORÇAMENTO.Fonte," ",ORÇAMENTO.CodBarra)))</f>
        <v>0</v>
      </c>
      <c r="AF64" s="13" t="str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(Sem Código)</v>
      </c>
      <c r="AG64" s="498">
        <f ca="1">ROUND(IF(DESONERACAO="sim",REFERENCIA.Desonerado,REFERENCIA.NaoDesonerado),2)</f>
        <v>0</v>
      </c>
      <c r="AH64" s="499">
        <f t="shared" ca="1" si="14"/>
        <v>0.23380000000000001</v>
      </c>
      <c r="AJ64" s="501"/>
      <c r="AL64" s="527"/>
      <c r="AM64" s="381">
        <f t="shared" ca="1" si="0"/>
        <v>116233.07</v>
      </c>
      <c r="AN64" s="566">
        <f t="shared" ca="1" si="15"/>
        <v>0</v>
      </c>
    </row>
    <row r="65" spans="1:40" ht="38.25" x14ac:dyDescent="0.2">
      <c r="A65" t="str">
        <f t="shared" si="1"/>
        <v>S</v>
      </c>
      <c r="B65">
        <f t="shared" ca="1" si="2"/>
        <v>2</v>
      </c>
      <c r="C65" t="str">
        <f t="shared" ca="1" si="3"/>
        <v>S</v>
      </c>
      <c r="D65">
        <f t="shared" ca="1" si="4"/>
        <v>0</v>
      </c>
      <c r="E65">
        <f ca="1">IF($C65=1,OFFSET(E65,-1,0)+MAX(1,COUNTIF(QCI!$A$13:$A$24,OFFSET(ORÇAMENTO!E65,-1,0))),OFFSET(E65,-1,0))</f>
        <v>2</v>
      </c>
      <c r="F65">
        <f t="shared" ca="1" si="5"/>
        <v>3</v>
      </c>
      <c r="G65">
        <f t="shared" ca="1" si="6"/>
        <v>0</v>
      </c>
      <c r="H65">
        <f t="shared" ca="1" si="7"/>
        <v>0</v>
      </c>
      <c r="I65">
        <f t="shared" ca="1" si="8"/>
        <v>1</v>
      </c>
      <c r="J65">
        <f ca="1">IF(OR($C65="S",$C65=0),0,MATCH(0,OFFSET($D65,1,$C65,ROW($C$119)-ROW($C65)),0))</f>
        <v>0</v>
      </c>
      <c r="K65">
        <f ca="1">IF(OR($C65="S",$C65=0),0,MATCH(OFFSET($D65,0,$C65)+IF($C65&lt;&gt;1,1,COUNTIF(QCI!$A$13:$A$24,ORÇAMENTO!E65)),OFFSET($D65,1,$C65,ROW($C$119)-ROW($C65)),0))</f>
        <v>0</v>
      </c>
      <c r="L65" s="116" t="str">
        <f t="shared" ca="1" si="9"/>
        <v>F</v>
      </c>
      <c r="M65" s="117" t="s">
        <v>199</v>
      </c>
      <c r="N65" s="118" t="str">
        <f t="shared" ca="1" si="10"/>
        <v>Serviço</v>
      </c>
      <c r="O65" s="119" t="str">
        <f t="shared" ca="1" si="11"/>
        <v>2.3.1.</v>
      </c>
      <c r="P65" s="120" t="s">
        <v>474</v>
      </c>
      <c r="Q65" s="121" t="s">
        <v>477</v>
      </c>
      <c r="R65" s="122" t="str">
        <f ca="1">IF($C65="S",REFERENCIA.Descricao,"(digite a descrição aqui)")</f>
        <v>Escavação, carga e transporte de material de 1ª categoria - DMT de 1.000 a 1.200 m - caminho de serviço pavimentado - com escavadeira e caminhão basculante de 14 m³</v>
      </c>
      <c r="S65" s="123" t="str">
        <f ca="1">REFERENCIA.Unidade</f>
        <v>m³</v>
      </c>
      <c r="T65" s="124">
        <f ca="1">OFFSET(CÁLCULO!H$15,ROW($T65)-ROW(T$15),0)</f>
        <v>191.16</v>
      </c>
      <c r="U65" s="125">
        <f t="shared" ca="1" si="17"/>
        <v>7.82</v>
      </c>
      <c r="V65" s="126" t="s">
        <v>156</v>
      </c>
      <c r="W65" s="124">
        <f ca="1">IF($C65="S",ROUND(IF(TIPOORCAMENTO="Proposto",ORÇAMENTO.CustoUnitario*(1+$AH65),ORÇAMENTO.PrecoUnitarioLicitado),15-13*$AF$10),0)</f>
        <v>9.65</v>
      </c>
      <c r="X65" s="127">
        <f ca="1">IF($C65="S",IF(Import.TipoArredondamento&lt;&gt;"TransfereGOV",VTOTAL1,SUM(OFFSET(CÁLCULO!$AA$15,ROW($X65)-ROW($X$15),1):OFFSET(CÁLCULO!$AL$15,ROW($X65)-ROW($X$15),-1))),IF($C65=0,0,ROUND(SomaAgrup,15-13*$AF$11)))</f>
        <v>1844.69</v>
      </c>
      <c r="Y65" s="128" t="s">
        <v>245</v>
      </c>
      <c r="Z65" t="str">
        <f t="shared" ca="1" si="12"/>
        <v>RA</v>
      </c>
      <c r="AA65" s="129">
        <f ca="1">IF($C65="S",IF($Z65="CP",$X65,IF($Z65="RA",(($X65)*QCI!$AA$3),0)),SomaAgrup)</f>
        <v>1844.69</v>
      </c>
      <c r="AB65" s="130">
        <f t="shared" ca="1" si="13"/>
        <v>0</v>
      </c>
      <c r="AC65" s="131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t="str">
        <f ca="1">IF(C65&lt;=CRONO.NivelExibicao,MAX($AD$15:OFFSET(AD65,-1,0))+IF($C65&lt;&gt;1,1,MAX(1,COUNTIF(QCI!$A$13:$A$24,OFFSET($E65,-1,0)))),"")</f>
        <v/>
      </c>
      <c r="AE65" s="7" t="str">
        <f ca="1">IF(AND($C65="S",ORÇAMENTO.CodBarra&lt;&gt;""),IF(ORÇAMENTO.Fonte="",ORÇAMENTO.CodBarra,CONCATENATE(ORÇAMENTO.Fonte," ",ORÇAMENTO.CodBarra)))</f>
        <v>SICRO 5502166</v>
      </c>
      <c r="AF65" s="13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21433</v>
      </c>
      <c r="AG65" s="498">
        <f ca="1">ROUND(IF(DESONERACAO="sim",REFERENCIA.Desonerado,REFERENCIA.NaoDesonerado),2)</f>
        <v>7.82</v>
      </c>
      <c r="AH65" s="499">
        <f t="shared" ca="1" si="14"/>
        <v>0.23380000000000001</v>
      </c>
      <c r="AJ65" s="501">
        <v>191.16</v>
      </c>
      <c r="AL65" s="527"/>
      <c r="AM65" s="381">
        <f t="shared" ca="1" si="0"/>
        <v>1844.69</v>
      </c>
      <c r="AN65" s="566">
        <f t="shared" ca="1" si="15"/>
        <v>9.65</v>
      </c>
    </row>
    <row r="66" spans="1:40" ht="25.5" x14ac:dyDescent="0.2">
      <c r="A66" t="str">
        <f t="shared" si="1"/>
        <v>S</v>
      </c>
      <c r="B66">
        <f t="shared" ca="1" si="2"/>
        <v>2</v>
      </c>
      <c r="C66" t="str">
        <f t="shared" ca="1" si="3"/>
        <v>S</v>
      </c>
      <c r="D66">
        <f t="shared" ca="1" si="4"/>
        <v>0</v>
      </c>
      <c r="E66">
        <f ca="1">IF($C66=1,OFFSET(E66,-1,0)+MAX(1,COUNTIF(QCI!$A$13:$A$24,OFFSET(ORÇAMENTO!E66,-1,0))),OFFSET(E66,-1,0))</f>
        <v>2</v>
      </c>
      <c r="F66">
        <f t="shared" ca="1" si="5"/>
        <v>3</v>
      </c>
      <c r="G66">
        <f t="shared" ca="1" si="6"/>
        <v>0</v>
      </c>
      <c r="H66">
        <f t="shared" ca="1" si="7"/>
        <v>0</v>
      </c>
      <c r="I66">
        <f t="shared" ca="1" si="8"/>
        <v>2</v>
      </c>
      <c r="J66">
        <f ca="1">IF(OR($C66="S",$C66=0),0,MATCH(0,OFFSET($D66,1,$C66,ROW($C$119)-ROW($C66)),0))</f>
        <v>0</v>
      </c>
      <c r="K66">
        <f ca="1">IF(OR($C66="S",$C66=0),0,MATCH(OFFSET($D66,0,$C66)+IF($C66&lt;&gt;1,1,COUNTIF(QCI!$A$13:$A$24,ORÇAMENTO!E66)),OFFSET($D66,1,$C66,ROW($C$119)-ROW($C66)),0))</f>
        <v>0</v>
      </c>
      <c r="L66" s="116" t="str">
        <f t="shared" ca="1" si="9"/>
        <v>F</v>
      </c>
      <c r="M66" s="117" t="s">
        <v>199</v>
      </c>
      <c r="N66" s="118" t="str">
        <f t="shared" ca="1" si="10"/>
        <v>Serviço</v>
      </c>
      <c r="O66" s="119" t="str">
        <f t="shared" ca="1" si="11"/>
        <v>2.3.2.</v>
      </c>
      <c r="P66" s="120" t="s">
        <v>450</v>
      </c>
      <c r="Q66" s="121" t="s">
        <v>466</v>
      </c>
      <c r="R66" s="122" t="str">
        <f ca="1">IF($C66="S",REFERENCIA.Descricao,"(digite a descrição aqui)")</f>
        <v>TUBO DE CONCRETO PA2 COMERCIAL PARA DRENAGEM - D=0,40 m (fornecimento e instalação)</v>
      </c>
      <c r="S66" s="123" t="str">
        <f ca="1">REFERENCIA.Unidade</f>
        <v>M</v>
      </c>
      <c r="T66" s="124">
        <f ca="1">OFFSET(CÁLCULO!H$15,ROW($T66)-ROW(T$15),0)</f>
        <v>119</v>
      </c>
      <c r="U66" s="125">
        <f t="shared" ca="1" si="17"/>
        <v>195.84</v>
      </c>
      <c r="V66" s="126" t="s">
        <v>156</v>
      </c>
      <c r="W66" s="124">
        <f ca="1">IF($C66="S",ROUND(IF(TIPOORCAMENTO="Proposto",ORÇAMENTO.CustoUnitario*(1+$AH66),ORÇAMENTO.PrecoUnitarioLicitado),15-13*$AF$10),0)</f>
        <v>241.63</v>
      </c>
      <c r="X66" s="127">
        <f ca="1">IF($C66="S",IF(Import.TipoArredondamento&lt;&gt;"TransfereGOV",VTOTAL1,SUM(OFFSET(CÁLCULO!$AA$15,ROW($X66)-ROW($X$15),1):OFFSET(CÁLCULO!$AL$15,ROW($X66)-ROW($X$15),-1))),IF($C66=0,0,ROUND(SomaAgrup,15-13*$AF$11)))</f>
        <v>28753.97</v>
      </c>
      <c r="Y66" s="128" t="s">
        <v>245</v>
      </c>
      <c r="Z66" t="str">
        <f t="shared" ca="1" si="12"/>
        <v>RA</v>
      </c>
      <c r="AA66" s="129">
        <f ca="1">IF($C66="S",IF($Z66="CP",$X66,IF($Z66="RA",(($X66)*QCI!$AA$3),0)),SomaAgrup)</f>
        <v>28753.97</v>
      </c>
      <c r="AB66" s="130">
        <f t="shared" ca="1" si="13"/>
        <v>0</v>
      </c>
      <c r="AC66" s="131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IF(C66&lt;=CRONO.NivelExibicao,MAX($AD$15:OFFSET(AD66,-1,0))+IF($C66&lt;&gt;1,1,MAX(1,COUNTIF(QCI!$A$13:$A$24,OFFSET($E66,-1,0)))),"")</f>
        <v/>
      </c>
      <c r="AE66" s="7" t="str">
        <f ca="1">IF(AND($C66="S",ORÇAMENTO.CodBarra&lt;&gt;""),IF(ORÇAMENTO.Fonte="",ORÇAMENTO.CodBarra,CONCATENATE(ORÇAMENTO.Fonte," ",ORÇAMENTO.CodBarra)))</f>
        <v>Composição 4</v>
      </c>
      <c r="AF66" s="13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6</v>
      </c>
      <c r="AG66" s="498">
        <f ca="1">ROUND(IF(DESONERACAO="sim",REFERENCIA.Desonerado,REFERENCIA.NaoDesonerado),2)</f>
        <v>195.84</v>
      </c>
      <c r="AH66" s="499">
        <f t="shared" ca="1" si="14"/>
        <v>0.23380000000000001</v>
      </c>
      <c r="AJ66" s="501">
        <v>119</v>
      </c>
      <c r="AL66" s="527"/>
      <c r="AM66" s="381">
        <f t="shared" ca="1" si="0"/>
        <v>28753.97</v>
      </c>
      <c r="AN66" s="566">
        <f t="shared" ca="1" si="15"/>
        <v>241.63</v>
      </c>
    </row>
    <row r="67" spans="1:40" x14ac:dyDescent="0.2">
      <c r="A67" t="str">
        <f t="shared" si="1"/>
        <v>S</v>
      </c>
      <c r="B67">
        <f t="shared" ca="1" si="2"/>
        <v>2</v>
      </c>
      <c r="C67" t="str">
        <f t="shared" ca="1" si="3"/>
        <v>S</v>
      </c>
      <c r="D67">
        <f t="shared" ca="1" si="4"/>
        <v>0</v>
      </c>
      <c r="E67">
        <f ca="1">IF($C67=1,OFFSET(E67,-1,0)+MAX(1,COUNTIF(QCI!$A$13:$A$24,OFFSET(ORÇAMENTO!E67,-1,0))),OFFSET(E67,-1,0))</f>
        <v>2</v>
      </c>
      <c r="F67">
        <f t="shared" ca="1" si="5"/>
        <v>3</v>
      </c>
      <c r="G67">
        <f t="shared" ca="1" si="6"/>
        <v>0</v>
      </c>
      <c r="H67">
        <f t="shared" ca="1" si="7"/>
        <v>0</v>
      </c>
      <c r="I67">
        <f t="shared" ca="1" si="8"/>
        <v>3</v>
      </c>
      <c r="J67">
        <f ca="1">IF(OR($C67="S",$C67=0),0,MATCH(0,OFFSET($D67,1,$C67,ROW($C$119)-ROW($C67)),0))</f>
        <v>0</v>
      </c>
      <c r="K67">
        <f ca="1">IF(OR($C67="S",$C67=0),0,MATCH(OFFSET($D67,0,$C67)+IF($C67&lt;&gt;1,1,COUNTIF(QCI!$A$13:$A$24,ORÇAMENTO!E67)),OFFSET($D67,1,$C67,ROW($C$119)-ROW($C67)),0))</f>
        <v>0</v>
      </c>
      <c r="L67" s="116" t="str">
        <f t="shared" ca="1" si="9"/>
        <v>F</v>
      </c>
      <c r="M67" s="117" t="s">
        <v>199</v>
      </c>
      <c r="N67" s="118" t="str">
        <f t="shared" ca="1" si="10"/>
        <v>Serviço</v>
      </c>
      <c r="O67" s="119" t="str">
        <f t="shared" ca="1" si="11"/>
        <v>2.3.3.</v>
      </c>
      <c r="P67" s="120" t="s">
        <v>474</v>
      </c>
      <c r="Q67" s="121" t="s">
        <v>478</v>
      </c>
      <c r="R67" s="122" t="str">
        <f ca="1">IF($C67="S",REFERENCIA.Descricao,"(digite a descrição aqui)")</f>
        <v>Reaterro e compactação com soquete vibratório</v>
      </c>
      <c r="S67" s="123" t="str">
        <f ca="1">REFERENCIA.Unidade</f>
        <v>m³</v>
      </c>
      <c r="T67" s="124">
        <v>177</v>
      </c>
      <c r="U67" s="125">
        <f t="shared" ca="1" si="17"/>
        <v>20.09</v>
      </c>
      <c r="V67" s="126" t="s">
        <v>156</v>
      </c>
      <c r="W67" s="124">
        <f ca="1">IF($C67="S",ROUND(IF(TIPOORCAMENTO="Proposto",ORÇAMENTO.CustoUnitario*(1+$AH67),ORÇAMENTO.PrecoUnitarioLicitado),15-13*$AF$10),0)</f>
        <v>24.79</v>
      </c>
      <c r="X67" s="127">
        <f ca="1">IF($C67="S",IF(Import.TipoArredondamento&lt;&gt;"TransfereGOV",VTOTAL1,SUM(OFFSET(CÁLCULO!$AA$15,ROW($X67)-ROW($X$15),1):OFFSET(CÁLCULO!$AL$15,ROW($X67)-ROW($X$15),-1))),IF($C67=0,0,ROUND(SomaAgrup,15-13*$AF$11)))</f>
        <v>4387.83</v>
      </c>
      <c r="Y67" s="128" t="s">
        <v>245</v>
      </c>
      <c r="Z67" t="str">
        <f t="shared" ca="1" si="12"/>
        <v>RA</v>
      </c>
      <c r="AA67" s="129">
        <f ca="1">IF($C67="S",IF($Z67="CP",$X67,IF($Z67="RA",(($X67)*QCI!$AA$3),0)),SomaAgrup)</f>
        <v>4387.83</v>
      </c>
      <c r="AB67" s="130">
        <f t="shared" ca="1" si="13"/>
        <v>0</v>
      </c>
      <c r="AC67" s="131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 t="str">
        <f ca="1">IF(C67&lt;=CRONO.NivelExibicao,MAX($AD$15:OFFSET(AD67,-1,0))+IF($C67&lt;&gt;1,1,MAX(1,COUNTIF(QCI!$A$13:$A$24,OFFSET($E67,-1,0)))),"")</f>
        <v/>
      </c>
      <c r="AE67" s="7" t="str">
        <f ca="1">IF(AND($C67="S",ORÇAMENTO.CodBarra&lt;&gt;""),IF(ORÇAMENTO.Fonte="",ORÇAMENTO.CodBarra,CONCATENATE(ORÇAMENTO.Fonte," ",ORÇAMENTO.CodBarra)))</f>
        <v>SICRO 4815671</v>
      </c>
      <c r="AF67" s="13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20800</v>
      </c>
      <c r="AG67" s="498">
        <f ca="1">ROUND(IF(DESONERACAO="sim",REFERENCIA.Desonerado,REFERENCIA.NaoDesonerado),2)</f>
        <v>20.09</v>
      </c>
      <c r="AH67" s="499">
        <f t="shared" ca="1" si="14"/>
        <v>0.23380000000000001</v>
      </c>
      <c r="AJ67" s="501">
        <v>146.91</v>
      </c>
      <c r="AL67" s="527"/>
      <c r="AM67" s="381">
        <f t="shared" ca="1" si="0"/>
        <v>4387.83</v>
      </c>
      <c r="AN67" s="566">
        <f t="shared" ca="1" si="15"/>
        <v>24.79</v>
      </c>
    </row>
    <row r="68" spans="1:40" s="577" customFormat="1" x14ac:dyDescent="0.2">
      <c r="A68" s="577" t="str">
        <f t="shared" si="1"/>
        <v>S</v>
      </c>
      <c r="B68" s="577">
        <f t="shared" ca="1" si="2"/>
        <v>2</v>
      </c>
      <c r="C68" s="577" t="str">
        <f t="shared" ca="1" si="3"/>
        <v>S</v>
      </c>
      <c r="D68" s="577">
        <f t="shared" ca="1" si="4"/>
        <v>0</v>
      </c>
      <c r="E68" s="577">
        <f ca="1">IF($C68=1,OFFSET(E68,-1,0)+MAX(1,COUNTIF(QCI!$A$13:$A$24,OFFSET(ORÇAMENTO!E68,-1,0))),OFFSET(E68,-1,0))</f>
        <v>2</v>
      </c>
      <c r="F68" s="577">
        <f t="shared" ca="1" si="5"/>
        <v>3</v>
      </c>
      <c r="G68" s="577">
        <f t="shared" ca="1" si="6"/>
        <v>0</v>
      </c>
      <c r="H68" s="577">
        <f t="shared" ca="1" si="7"/>
        <v>0</v>
      </c>
      <c r="I68" s="577">
        <f t="shared" ca="1" si="8"/>
        <v>4</v>
      </c>
      <c r="J68" s="577">
        <f ca="1">IF(OR($C68="S",$C68=0),0,MATCH(0,OFFSET($D68,1,$C68,ROW($C$119)-ROW($C68)),0))</f>
        <v>0</v>
      </c>
      <c r="K68" s="577">
        <f ca="1">IF(OR($C68="S",$C68=0),0,MATCH(OFFSET($D68,0,$C68)+IF($C68&lt;&gt;1,1,COUNTIF(QCI!$A$13:$A$24,ORÇAMENTO!E68)),OFFSET($D68,1,$C68,ROW($C$119)-ROW($C68)),0))</f>
        <v>0</v>
      </c>
      <c r="L68" s="116" t="str">
        <f t="shared" ca="1" si="9"/>
        <v>F</v>
      </c>
      <c r="M68" s="117" t="s">
        <v>199</v>
      </c>
      <c r="N68" s="118" t="str">
        <f t="shared" ca="1" si="10"/>
        <v>Serviço</v>
      </c>
      <c r="O68" s="119" t="str">
        <f t="shared" ca="1" si="11"/>
        <v>2.3.4.</v>
      </c>
      <c r="P68" s="120" t="s">
        <v>474</v>
      </c>
      <c r="Q68" s="121" t="s">
        <v>500</v>
      </c>
      <c r="R68" s="122" t="str">
        <f ca="1">IF($C68="S",REFERENCIA.Descricao,"(digite a descrição aqui)")</f>
        <v>Usinagem de brita graduada com brita comercial em usina de 300 t/h</v>
      </c>
      <c r="S68" s="123" t="str">
        <f ca="1">REFERENCIA.Unidade</f>
        <v>m³</v>
      </c>
      <c r="T68" s="124">
        <f ca="1">OFFSET(CÁLCULO!H$15,ROW($T68)-ROW(T$15),0)</f>
        <v>146.91</v>
      </c>
      <c r="U68" s="125">
        <f t="shared" ca="1" si="17"/>
        <v>218.77</v>
      </c>
      <c r="V68" s="126" t="s">
        <v>156</v>
      </c>
      <c r="W68" s="124">
        <f ca="1">IF($C68="S",ROUND(IF(TIPOORCAMENTO="Proposto",ORÇAMENTO.CustoUnitario*(1+$AH68),ORÇAMENTO.PrecoUnitarioLicitado),15-13*$AF$10),0)</f>
        <v>269.92</v>
      </c>
      <c r="X68" s="127">
        <f ca="1">IF($C68="S",IF(Import.TipoArredondamento&lt;&gt;"TransfereGOV",VTOTAL1,SUM(OFFSET(CÁLCULO!$AA$15,ROW($X68)-ROW($X$15),1):OFFSET(CÁLCULO!$AL$15,ROW($X68)-ROW($X$15),-1))),IF($C68=0,0,ROUND(SomaAgrup,15-13*$AF$11)))</f>
        <v>39653.949999999997</v>
      </c>
      <c r="Y68" s="128" t="s">
        <v>245</v>
      </c>
      <c r="Z68" s="577" t="str">
        <f t="shared" ca="1" si="12"/>
        <v>RA</v>
      </c>
      <c r="AA68" s="129">
        <f ca="1">IF($C68="S",IF($Z68="CP",$X68,IF($Z68="RA",(($X68)*QCI!$AA$3),0)),SomaAgrup)</f>
        <v>39653.949999999997</v>
      </c>
      <c r="AB68" s="130">
        <f t="shared" ca="1" si="13"/>
        <v>0</v>
      </c>
      <c r="AC68" s="131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s="577" t="str">
        <f ca="1">IF(C68&lt;=CRONO.NivelExibicao,MAX($AD$15:OFFSET(AD68,-1,0))+IF($C68&lt;&gt;1,1,MAX(1,COUNTIF(QCI!$A$13:$A$24,OFFSET($E68,-1,0)))),"")</f>
        <v/>
      </c>
      <c r="AE68" s="7" t="str">
        <f ca="1">IF(AND($C68="S",ORÇAMENTO.CodBarra&lt;&gt;""),IF(ORÇAMENTO.Fonte="",ORÇAMENTO.CodBarra,CONCATENATE(ORÇAMENTO.Fonte," ",ORÇAMENTO.CodBarra)))</f>
        <v>SICRO 6416040</v>
      </c>
      <c r="AF68" s="576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22130</v>
      </c>
      <c r="AG68" s="498">
        <f ca="1">ROUND(IF(DESONERACAO="sim",REFERENCIA.Desonerado,REFERENCIA.NaoDesonerado),2)</f>
        <v>218.77</v>
      </c>
      <c r="AH68" s="499">
        <f t="shared" ca="1" si="14"/>
        <v>0.23380000000000001</v>
      </c>
      <c r="AJ68" s="501">
        <v>146.91</v>
      </c>
      <c r="AL68" s="527"/>
      <c r="AM68" s="381">
        <f t="shared" ca="1" si="0"/>
        <v>39653.949999999997</v>
      </c>
      <c r="AN68" s="566">
        <f t="shared" ca="1" si="15"/>
        <v>269.92</v>
      </c>
    </row>
    <row r="69" spans="1:40" s="577" customFormat="1" x14ac:dyDescent="0.2">
      <c r="A69" s="577" t="str">
        <f t="shared" si="1"/>
        <v>S</v>
      </c>
      <c r="B69" s="577">
        <f t="shared" ca="1" si="2"/>
        <v>2</v>
      </c>
      <c r="C69" s="577" t="str">
        <f t="shared" ca="1" si="3"/>
        <v>S</v>
      </c>
      <c r="D69" s="577">
        <f t="shared" ca="1" si="4"/>
        <v>0</v>
      </c>
      <c r="E69" s="577">
        <f ca="1">IF($C69=1,OFFSET(E69,-1,0)+MAX(1,COUNTIF(QCI!$A$13:$A$24,OFFSET(ORÇAMENTO!E69,-1,0))),OFFSET(E69,-1,0))</f>
        <v>2</v>
      </c>
      <c r="F69" s="577">
        <f t="shared" ca="1" si="5"/>
        <v>3</v>
      </c>
      <c r="G69" s="577">
        <f t="shared" ca="1" si="6"/>
        <v>0</v>
      </c>
      <c r="H69" s="577">
        <f t="shared" ca="1" si="7"/>
        <v>0</v>
      </c>
      <c r="I69" s="577">
        <f t="shared" ca="1" si="8"/>
        <v>5</v>
      </c>
      <c r="J69" s="577">
        <f ca="1">IF(OR($C69="S",$C69=0),0,MATCH(0,OFFSET($D69,1,$C69,ROW($C$119)-ROW($C69)),0))</f>
        <v>0</v>
      </c>
      <c r="K69" s="577">
        <f ca="1">IF(OR($C69="S",$C69=0),0,MATCH(OFFSET($D69,0,$C69)+IF($C69&lt;&gt;1,1,COUNTIF(QCI!$A$13:$A$24,ORÇAMENTO!E69)),OFFSET($D69,1,$C69,ROW($C$119)-ROW($C69)),0))</f>
        <v>0</v>
      </c>
      <c r="L69" s="116" t="str">
        <f t="shared" ca="1" si="9"/>
        <v>F</v>
      </c>
      <c r="M69" s="117" t="s">
        <v>199</v>
      </c>
      <c r="N69" s="118" t="str">
        <f t="shared" ca="1" si="10"/>
        <v>Serviço</v>
      </c>
      <c r="O69" s="119" t="str">
        <f t="shared" ca="1" si="11"/>
        <v>2.3.5.</v>
      </c>
      <c r="P69" s="120" t="s">
        <v>474</v>
      </c>
      <c r="Q69" s="121" t="s">
        <v>479</v>
      </c>
      <c r="R69" s="122" t="str">
        <f ca="1">IF($C69="S",REFERENCIA.Descricao,"(digite a descrição aqui)")</f>
        <v>Transporte com caminhão basculante de 10 m³ - rodovia pavimentada</v>
      </c>
      <c r="S69" s="123" t="str">
        <f ca="1">REFERENCIA.Unidade</f>
        <v>tkm</v>
      </c>
      <c r="T69" s="124">
        <f ca="1">OFFSET(CÁLCULO!H$15,ROW($T69)-ROW(T$15),0)</f>
        <v>7492.41</v>
      </c>
      <c r="U69" s="125">
        <f t="shared" ca="1" si="17"/>
        <v>0.82</v>
      </c>
      <c r="V69" s="126" t="s">
        <v>191</v>
      </c>
      <c r="W69" s="124">
        <f ca="1">IF($C69="S",ROUND(IF(TIPOORCAMENTO="Proposto",ORÇAMENTO.CustoUnitario*(1+$AH69),ORÇAMENTO.PrecoUnitarioLicitado),15-13*$AF$10),0)</f>
        <v>0.94</v>
      </c>
      <c r="X69" s="127">
        <f ca="1">IF($C69="S",IF(Import.TipoArredondamento&lt;&gt;"TransfereGOV",VTOTAL1,SUM(OFFSET(CÁLCULO!$AA$15,ROW($X69)-ROW($X$15),1):OFFSET(CÁLCULO!$AL$15,ROW($X69)-ROW($X$15),-1))),IF($C69=0,0,ROUND(SomaAgrup,15-13*$AF$11)))</f>
        <v>7042.87</v>
      </c>
      <c r="Y69" s="128" t="s">
        <v>245</v>
      </c>
      <c r="Z69" s="577" t="str">
        <f t="shared" ca="1" si="12"/>
        <v>RA</v>
      </c>
      <c r="AA69" s="129">
        <f ca="1">IF($C69="S",IF($Z69="CP",$X69,IF($Z69="RA",(($X69)*QCI!$AA$3),0)),SomaAgrup)</f>
        <v>7042.87</v>
      </c>
      <c r="AB69" s="130">
        <f t="shared" ca="1" si="13"/>
        <v>0</v>
      </c>
      <c r="AC69" s="131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 s="577" t="str">
        <f ca="1">IF(C69&lt;=CRONO.NivelExibicao,MAX($AD$15:OFFSET(AD69,-1,0))+IF($C69&lt;&gt;1,1,MAX(1,COUNTIF(QCI!$A$13:$A$24,OFFSET($E69,-1,0)))),"")</f>
        <v/>
      </c>
      <c r="AE69" s="7" t="str">
        <f ca="1">IF(AND($C69="S",ORÇAMENTO.CodBarra&lt;&gt;""),IF(ORÇAMENTO.Fonte="",ORÇAMENTO.CodBarra,CONCATENATE(ORÇAMENTO.Fonte," ",ORÇAMENTO.CodBarra)))</f>
        <v>SICRO 5914389</v>
      </c>
      <c r="AF69" s="576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21855</v>
      </c>
      <c r="AG69" s="498">
        <f ca="1">ROUND(IF(DESONERACAO="sim",REFERENCIA.Desonerado,REFERENCIA.NaoDesonerado),2)</f>
        <v>0.82</v>
      </c>
      <c r="AH69" s="499">
        <f t="shared" ca="1" si="14"/>
        <v>0.15</v>
      </c>
      <c r="AJ69" s="501">
        <v>7492.41</v>
      </c>
      <c r="AL69" s="527"/>
      <c r="AM69" s="381">
        <f t="shared" ca="1" si="0"/>
        <v>7042.87</v>
      </c>
      <c r="AN69" s="566">
        <f t="shared" ca="1" si="15"/>
        <v>0.94</v>
      </c>
    </row>
    <row r="70" spans="1:40" x14ac:dyDescent="0.2">
      <c r="A70" t="str">
        <f t="shared" si="1"/>
        <v>S</v>
      </c>
      <c r="B70">
        <f t="shared" ca="1" si="2"/>
        <v>2</v>
      </c>
      <c r="C70" t="str">
        <f t="shared" ca="1" si="3"/>
        <v>S</v>
      </c>
      <c r="D70">
        <f t="shared" ca="1" si="4"/>
        <v>0</v>
      </c>
      <c r="E70">
        <f ca="1">IF($C70=1,OFFSET(E70,-1,0)+MAX(1,COUNTIF(QCI!$A$13:$A$24,OFFSET(ORÇAMENTO!E70,-1,0))),OFFSET(E70,-1,0))</f>
        <v>2</v>
      </c>
      <c r="F70">
        <f t="shared" ca="1" si="5"/>
        <v>3</v>
      </c>
      <c r="G70">
        <f t="shared" ca="1" si="6"/>
        <v>0</v>
      </c>
      <c r="H70">
        <f t="shared" ca="1" si="7"/>
        <v>0</v>
      </c>
      <c r="I70">
        <f t="shared" ca="1" si="8"/>
        <v>6</v>
      </c>
      <c r="J70">
        <f ca="1">IF(OR($C70="S",$C70=0),0,MATCH(0,OFFSET($D70,1,$C70,ROW($C$119)-ROW($C70)),0))</f>
        <v>0</v>
      </c>
      <c r="K70">
        <f ca="1">IF(OR($C70="S",$C70=0),0,MATCH(OFFSET($D70,0,$C70)+IF($C70&lt;&gt;1,1,COUNTIF(QCI!$A$13:$A$24,ORÇAMENTO!E70)),OFFSET($D70,1,$C70,ROW($C$119)-ROW($C70)),0))</f>
        <v>0</v>
      </c>
      <c r="L70" s="116" t="str">
        <f t="shared" ca="1" si="9"/>
        <v>F</v>
      </c>
      <c r="M70" s="117" t="s">
        <v>199</v>
      </c>
      <c r="N70" s="118" t="str">
        <f t="shared" ca="1" si="10"/>
        <v>Serviço</v>
      </c>
      <c r="O70" s="119" t="str">
        <f t="shared" ca="1" si="11"/>
        <v>2.3.6.</v>
      </c>
      <c r="P70" s="120" t="s">
        <v>450</v>
      </c>
      <c r="Q70" s="121" t="s">
        <v>452</v>
      </c>
      <c r="R70" s="122" t="str">
        <f ca="1">IF($C70="S",REFERENCIA.Descricao,"(digite a descrição aqui)")</f>
        <v>BOCA DE LOBO COM GRADE 80X80 (INTERNA) - TIPO BL</v>
      </c>
      <c r="S70" s="123" t="str">
        <f ca="1">REFERENCIA.Unidade</f>
        <v>UNID.</v>
      </c>
      <c r="T70" s="124">
        <f ca="1">OFFSET(CÁLCULO!H$15,ROW($T70)-ROW(T$15),0)</f>
        <v>5</v>
      </c>
      <c r="U70" s="125">
        <f t="shared" ca="1" si="17"/>
        <v>1437.9</v>
      </c>
      <c r="V70" s="126" t="s">
        <v>156</v>
      </c>
      <c r="W70" s="124">
        <f ca="1">IF($C70="S",ROUND(IF(TIPOORCAMENTO="Proposto",ORÇAMENTO.CustoUnitario*(1+$AH70),ORÇAMENTO.PrecoUnitarioLicitado),15-13*$AF$10),0)</f>
        <v>1774.08</v>
      </c>
      <c r="X70" s="127">
        <f ca="1">IF($C70="S",IF(Import.TipoArredondamento&lt;&gt;"TransfereGOV",VTOTAL1,SUM(OFFSET(CÁLCULO!$AA$15,ROW($X70)-ROW($X$15),1):OFFSET(CÁLCULO!$AL$15,ROW($X70)-ROW($X$15),-1))),IF($C70=0,0,ROUND(SomaAgrup,15-13*$AF$11)))</f>
        <v>8870.4</v>
      </c>
      <c r="Y70" s="128" t="s">
        <v>245</v>
      </c>
      <c r="Z70" t="str">
        <f t="shared" ca="1" si="12"/>
        <v>RA</v>
      </c>
      <c r="AA70" s="129">
        <f ca="1">IF($C70="S",IF($Z70="CP",$X70,IF($Z70="RA",(($X70)*QCI!$AA$3),0)),SomaAgrup)</f>
        <v>8870.4</v>
      </c>
      <c r="AB70" s="130">
        <f t="shared" ca="1" si="13"/>
        <v>0</v>
      </c>
      <c r="AC70" s="131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 t="str">
        <f ca="1">IF(C70&lt;=CRONO.NivelExibicao,MAX($AD$15:OFFSET(AD70,-1,0))+IF($C70&lt;&gt;1,1,MAX(1,COUNTIF(QCI!$A$13:$A$24,OFFSET($E70,-1,0)))),"")</f>
        <v/>
      </c>
      <c r="AE70" s="7" t="str">
        <f ca="1">IF(AND($C70="S",ORÇAMENTO.CodBarra&lt;&gt;""),IF(ORÇAMENTO.Fonte="",ORÇAMENTO.CodBarra,CONCATENATE(ORÇAMENTO.Fonte," ",ORÇAMENTO.CodBarra)))</f>
        <v>Composição 2</v>
      </c>
      <c r="AF70" s="13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4</v>
      </c>
      <c r="AG70" s="498">
        <f ca="1">ROUND(IF(DESONERACAO="sim",REFERENCIA.Desonerado,REFERENCIA.NaoDesonerado),2)</f>
        <v>1437.9</v>
      </c>
      <c r="AH70" s="499">
        <f t="shared" ca="1" si="14"/>
        <v>0.23380000000000001</v>
      </c>
      <c r="AJ70" s="501">
        <v>5</v>
      </c>
      <c r="AL70" s="527"/>
      <c r="AM70" s="381">
        <f t="shared" ca="1" si="0"/>
        <v>8870.4</v>
      </c>
      <c r="AN70" s="566">
        <f t="shared" ca="1" si="15"/>
        <v>1774.08</v>
      </c>
    </row>
    <row r="71" spans="1:40" ht="25.5" x14ac:dyDescent="0.2">
      <c r="A71" t="str">
        <f t="shared" si="1"/>
        <v>S</v>
      </c>
      <c r="B71">
        <f t="shared" ca="1" si="2"/>
        <v>2</v>
      </c>
      <c r="C71" t="str">
        <f t="shared" ca="1" si="3"/>
        <v>S</v>
      </c>
      <c r="D71">
        <f t="shared" ca="1" si="4"/>
        <v>0</v>
      </c>
      <c r="E71">
        <f ca="1">IF($C71=1,OFFSET(E71,-1,0)+MAX(1,COUNTIF(QCI!$A$13:$A$24,OFFSET(ORÇAMENTO!E71,-1,0))),OFFSET(E71,-1,0))</f>
        <v>2</v>
      </c>
      <c r="F71">
        <f t="shared" ca="1" si="5"/>
        <v>3</v>
      </c>
      <c r="G71">
        <f t="shared" ca="1" si="6"/>
        <v>0</v>
      </c>
      <c r="H71">
        <f t="shared" ca="1" si="7"/>
        <v>0</v>
      </c>
      <c r="I71">
        <f t="shared" ca="1" si="8"/>
        <v>7</v>
      </c>
      <c r="J71">
        <f ca="1">IF(OR($C71="S",$C71=0),0,MATCH(0,OFFSET($D71,1,$C71,ROW($C$119)-ROW($C71)),0))</f>
        <v>0</v>
      </c>
      <c r="K71">
        <f ca="1">IF(OR($C71="S",$C71=0),0,MATCH(OFFSET($D71,0,$C71)+IF($C71&lt;&gt;1,1,COUNTIF(QCI!$A$13:$A$24,ORÇAMENTO!E71)),OFFSET($D71,1,$C71,ROW($C$119)-ROW($C71)),0))</f>
        <v>0</v>
      </c>
      <c r="L71" s="116" t="str">
        <f t="shared" ca="1" si="9"/>
        <v>F</v>
      </c>
      <c r="M71" s="117" t="s">
        <v>199</v>
      </c>
      <c r="N71" s="118" t="str">
        <f t="shared" ca="1" si="10"/>
        <v>Serviço</v>
      </c>
      <c r="O71" s="119" t="str">
        <f t="shared" ca="1" si="11"/>
        <v>2.3.7.</v>
      </c>
      <c r="P71" s="120" t="s">
        <v>450</v>
      </c>
      <c r="Q71" s="121" t="s">
        <v>453</v>
      </c>
      <c r="R71" s="122" t="str">
        <f ca="1">IF($C71="S",REFERENCIA.Descricao,"(digite a descrição aqui)")</f>
        <v>SARJETA DE CONCRETO MOLDADA IN LOCO, CONCRETO USINADO 30X5 CM</v>
      </c>
      <c r="S71" s="123" t="str">
        <f ca="1">REFERENCIA.Unidade</f>
        <v>M</v>
      </c>
      <c r="T71" s="124">
        <f ca="1">OFFSET(CÁLCULO!H$15,ROW($T71)-ROW(T$15),0)</f>
        <v>740</v>
      </c>
      <c r="U71" s="125">
        <f t="shared" ca="1" si="17"/>
        <v>21.53</v>
      </c>
      <c r="V71" s="126" t="s">
        <v>156</v>
      </c>
      <c r="W71" s="124">
        <f ca="1">IF($C71="S",ROUND(IF(TIPOORCAMENTO="Proposto",ORÇAMENTO.CustoUnitario*(1+$AH71),ORÇAMENTO.PrecoUnitarioLicitado),15-13*$AF$10),0)</f>
        <v>26.56</v>
      </c>
      <c r="X71" s="127">
        <f ca="1">IF($C71="S",IF(Import.TipoArredondamento&lt;&gt;"TransfereGOV",VTOTAL1,SUM(OFFSET(CÁLCULO!$AA$15,ROW($X71)-ROW($X$15),1):OFFSET(CÁLCULO!$AL$15,ROW($X71)-ROW($X$15),-1))),IF($C71=0,0,ROUND(SomaAgrup,15-13*$AF$11)))</f>
        <v>19654.400000000001</v>
      </c>
      <c r="Y71" s="128" t="s">
        <v>245</v>
      </c>
      <c r="Z71" t="str">
        <f t="shared" ca="1" si="12"/>
        <v>RA</v>
      </c>
      <c r="AA71" s="129">
        <f ca="1">IF($C71="S",IF($Z71="CP",$X71,IF($Z71="RA",(($X71)*QCI!$AA$3),0)),SomaAgrup)</f>
        <v>19654.400000000001</v>
      </c>
      <c r="AB71" s="130">
        <f t="shared" ca="1" si="13"/>
        <v>0</v>
      </c>
      <c r="AC71" s="131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 t="str">
        <f ca="1">IF(C71&lt;=CRONO.NivelExibicao,MAX($AD$15:OFFSET(AD71,-1,0))+IF($C71&lt;&gt;1,1,MAX(1,COUNTIF(QCI!$A$13:$A$24,OFFSET($E71,-1,0)))),"")</f>
        <v/>
      </c>
      <c r="AE71" s="7" t="str">
        <f ca="1">IF(AND($C71="S",ORÇAMENTO.CodBarra&lt;&gt;""),IF(ORÇAMENTO.Fonte="",ORÇAMENTO.CodBarra,CONCATENATE(ORÇAMENTO.Fonte," ",ORÇAMENTO.CodBarra)))</f>
        <v>Composição 1</v>
      </c>
      <c r="AF71" s="13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3</v>
      </c>
      <c r="AG71" s="498">
        <f ca="1">ROUND(IF(DESONERACAO="sim",REFERENCIA.Desonerado,REFERENCIA.NaoDesonerado),2)</f>
        <v>21.53</v>
      </c>
      <c r="AH71" s="499">
        <f t="shared" ca="1" si="14"/>
        <v>0.23380000000000001</v>
      </c>
      <c r="AJ71" s="501">
        <v>740</v>
      </c>
      <c r="AL71" s="527"/>
      <c r="AM71" s="381">
        <f t="shared" ca="1" si="0"/>
        <v>19654.400000000001</v>
      </c>
      <c r="AN71" s="566">
        <f t="shared" ca="1" si="15"/>
        <v>26.56</v>
      </c>
    </row>
    <row r="72" spans="1:40" ht="51" x14ac:dyDescent="0.2">
      <c r="A72" t="str">
        <f t="shared" si="1"/>
        <v>S</v>
      </c>
      <c r="B72">
        <f t="shared" ca="1" si="2"/>
        <v>2</v>
      </c>
      <c r="C72" t="str">
        <f t="shared" ca="1" si="3"/>
        <v>S</v>
      </c>
      <c r="D72">
        <f t="shared" ca="1" si="4"/>
        <v>0</v>
      </c>
      <c r="E72">
        <f ca="1">IF($C72=1,OFFSET(E72,-1,0)+MAX(1,COUNTIF(QCI!$A$13:$A$24,OFFSET(ORÇAMENTO!E72,-1,0))),OFFSET(E72,-1,0))</f>
        <v>2</v>
      </c>
      <c r="F72">
        <f t="shared" ca="1" si="5"/>
        <v>3</v>
      </c>
      <c r="G72">
        <f t="shared" ca="1" si="6"/>
        <v>0</v>
      </c>
      <c r="H72">
        <f t="shared" ca="1" si="7"/>
        <v>0</v>
      </c>
      <c r="I72">
        <f t="shared" ca="1" si="8"/>
        <v>8</v>
      </c>
      <c r="J72">
        <f ca="1">IF(OR($C72="S",$C72=0),0,MATCH(0,OFFSET($D72,1,$C72,ROW($C$119)-ROW($C72)),0))</f>
        <v>0</v>
      </c>
      <c r="K72">
        <f ca="1">IF(OR($C72="S",$C72=0),0,MATCH(OFFSET($D72,0,$C72)+IF($C72&lt;&gt;1,1,COUNTIF(QCI!$A$13:$A$24,ORÇAMENTO!E72)),OFFSET($D72,1,$C72,ROW($C$119)-ROW($C72)),0))</f>
        <v>0</v>
      </c>
      <c r="L72" s="116" t="str">
        <f t="shared" ca="1" si="9"/>
        <v>F</v>
      </c>
      <c r="M72" s="117" t="s">
        <v>199</v>
      </c>
      <c r="N72" s="118" t="str">
        <f t="shared" ca="1" si="10"/>
        <v>Serviço</v>
      </c>
      <c r="O72" s="119" t="str">
        <f t="shared" ca="1" si="11"/>
        <v>2.3.8.</v>
      </c>
      <c r="P72" s="120" t="s">
        <v>247</v>
      </c>
      <c r="Q72" s="121" t="s">
        <v>468</v>
      </c>
      <c r="R72" s="122" t="str">
        <f ca="1">IF($C72="S",REFERENCIA.Descricao,"(digite a descrição aqui)")</f>
        <v>ASSENTAMENTO DE GUIA (MEIO-FIO) EM TRECHO RETO, CONFECCIONADA EM CONCRETO PRÉ-FABRICADO, DIMENSÕES 100X15X13X30 CM (COMPRIMENTO X BASE INFERIOR X BASE SUPERIOR X ALTURA). AF_01/2024</v>
      </c>
      <c r="S72" s="123" t="str">
        <f ca="1">REFERENCIA.Unidade</f>
        <v>M</v>
      </c>
      <c r="T72" s="124">
        <f ca="1">OFFSET(CÁLCULO!H$15,ROW($T72)-ROW(T$15),0)</f>
        <v>96</v>
      </c>
      <c r="U72" s="125">
        <f t="shared" ca="1" si="17"/>
        <v>50.87</v>
      </c>
      <c r="V72" s="126" t="s">
        <v>156</v>
      </c>
      <c r="W72" s="124">
        <f ca="1">IF($C72="S",ROUND(IF(TIPOORCAMENTO="Proposto",ORÇAMENTO.CustoUnitario*(1+$AH72),ORÇAMENTO.PrecoUnitarioLicitado),15-13*$AF$10),0)</f>
        <v>62.76</v>
      </c>
      <c r="X72" s="127">
        <f ca="1">IF($C72="S",IF(Import.TipoArredondamento&lt;&gt;"TransfereGOV",VTOTAL1,SUM(OFFSET(CÁLCULO!$AA$15,ROW($X72)-ROW($X$15),1):OFFSET(CÁLCULO!$AL$15,ROW($X72)-ROW($X$15),-1))),IF($C72=0,0,ROUND(SomaAgrup,15-13*$AF$11)))</f>
        <v>6024.96</v>
      </c>
      <c r="Y72" s="128" t="s">
        <v>245</v>
      </c>
      <c r="Z72" t="str">
        <f t="shared" ca="1" si="12"/>
        <v>RA</v>
      </c>
      <c r="AA72" s="129">
        <f ca="1">IF($C72="S",IF($Z72="CP",$X72,IF($Z72="RA",(($X72)*QCI!$AA$3),0)),SomaAgrup)</f>
        <v>6024.96</v>
      </c>
      <c r="AB72" s="130">
        <f t="shared" ca="1" si="13"/>
        <v>0</v>
      </c>
      <c r="AC72" s="131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t="str">
        <f ca="1">IF(C72&lt;=CRONO.NivelExibicao,MAX($AD$15:OFFSET(AD72,-1,0))+IF($C72&lt;&gt;1,1,MAX(1,COUNTIF(QCI!$A$13:$A$24,OFFSET($E72,-1,0)))),"")</f>
        <v/>
      </c>
      <c r="AE72" s="7" t="str">
        <f ca="1">IF(AND($C72="S",ORÇAMENTO.CodBarra&lt;&gt;""),IF(ORÇAMENTO.Fonte="",ORÇAMENTO.CodBarra,CONCATENATE(ORÇAMENTO.Fonte," ",ORÇAMENTO.CodBarra)))</f>
        <v>SINAPI 94273</v>
      </c>
      <c r="AF72" s="13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10250</v>
      </c>
      <c r="AG72" s="498">
        <f ca="1">ROUND(IF(DESONERACAO="sim",REFERENCIA.Desonerado,REFERENCIA.NaoDesonerado),2)</f>
        <v>50.87</v>
      </c>
      <c r="AH72" s="499">
        <f t="shared" ca="1" si="14"/>
        <v>0.23380000000000001</v>
      </c>
      <c r="AJ72" s="501">
        <v>96</v>
      </c>
      <c r="AL72" s="527"/>
      <c r="AM72" s="381">
        <f t="shared" ca="1" si="0"/>
        <v>6024.96</v>
      </c>
      <c r="AN72" s="566">
        <f t="shared" ca="1" si="15"/>
        <v>62.76</v>
      </c>
    </row>
    <row r="73" spans="1:40" x14ac:dyDescent="0.2">
      <c r="A73">
        <f t="shared" si="1"/>
        <v>2</v>
      </c>
      <c r="B73">
        <f t="shared" ca="1" si="2"/>
        <v>2</v>
      </c>
      <c r="C73">
        <f t="shared" ca="1" si="3"/>
        <v>2</v>
      </c>
      <c r="D73">
        <f t="shared" ca="1" si="4"/>
        <v>9</v>
      </c>
      <c r="E73">
        <f ca="1">IF($C73=1,OFFSET(E73,-1,0)+MAX(1,COUNTIF(QCI!$A$13:$A$24,OFFSET(ORÇAMENTO!E73,-1,0))),OFFSET(E73,-1,0))</f>
        <v>2</v>
      </c>
      <c r="F73">
        <f t="shared" ca="1" si="5"/>
        <v>4</v>
      </c>
      <c r="G73">
        <f t="shared" ca="1" si="6"/>
        <v>0</v>
      </c>
      <c r="H73">
        <f t="shared" ca="1" si="7"/>
        <v>0</v>
      </c>
      <c r="I73">
        <f t="shared" ca="1" si="8"/>
        <v>0</v>
      </c>
      <c r="J73">
        <f ca="1">IF(OR($C73="S",$C73=0),0,MATCH(0,OFFSET($D73,1,$C73,ROW($C$119)-ROW($C73)),0))</f>
        <v>14</v>
      </c>
      <c r="K73">
        <f ca="1">IF(OR($C73="S",$C73=0),0,MATCH(OFFSET($D73,0,$C73)+IF($C73&lt;&gt;1,1,COUNTIF(QCI!$A$13:$A$24,ORÇAMENTO!E73)),OFFSET($D73,1,$C73,ROW($C$119)-ROW($C73)),0))</f>
        <v>9</v>
      </c>
      <c r="L73" s="116" t="str">
        <f t="shared" ca="1" si="9"/>
        <v>F</v>
      </c>
      <c r="M73" s="117" t="s">
        <v>196</v>
      </c>
      <c r="N73" s="118" t="str">
        <f t="shared" ca="1" si="10"/>
        <v>Nível 2</v>
      </c>
      <c r="O73" s="119" t="str">
        <f t="shared" ca="1" si="11"/>
        <v>2.4.</v>
      </c>
      <c r="P73" s="120" t="s">
        <v>247</v>
      </c>
      <c r="Q73" s="121"/>
      <c r="R73" s="122" t="s">
        <v>454</v>
      </c>
      <c r="S73" s="123" t="str">
        <f ca="1">REFERENCIA.Unidade</f>
        <v>-</v>
      </c>
      <c r="T73" s="124">
        <f ca="1">OFFSET(CÁLCULO!H$15,ROW($T73)-ROW(T$15),0)</f>
        <v>0</v>
      </c>
      <c r="U73" s="125">
        <f t="shared" ca="1" si="17"/>
        <v>0</v>
      </c>
      <c r="V73" s="126" t="s">
        <v>156</v>
      </c>
      <c r="W73" s="124">
        <f ca="1">IF($C73="S",ROUND(IF(TIPOORCAMENTO="Proposto",ORÇAMENTO.CustoUnitario*(1+$AH73),ORÇAMENTO.PrecoUnitarioLicitado),15-13*$AF$10),0)</f>
        <v>0</v>
      </c>
      <c r="X73" s="127">
        <f ca="1">IF($C73="S",IF(Import.TipoArredondamento&lt;&gt;"TransfereGOV",VTOTAL1,SUM(OFFSET(CÁLCULO!$AA$15,ROW($X73)-ROW($X$15),1):OFFSET(CÁLCULO!$AL$15,ROW($X73)-ROW($X$15),-1))),IF($C73=0,0,ROUND(SomaAgrup,15-13*$AF$11)))</f>
        <v>354658.68</v>
      </c>
      <c r="Y73" s="128" t="s">
        <v>245</v>
      </c>
      <c r="Z73" t="str">
        <f t="shared" ca="1" si="12"/>
        <v/>
      </c>
      <c r="AA73" s="129">
        <f ca="1">IF($C73="S",IF($Z73="CP",$X73,IF($Z73="RA",(($X73)*QCI!$AA$3),0)),SomaAgrup)</f>
        <v>354658.68</v>
      </c>
      <c r="AB73" s="130">
        <f t="shared" ca="1" si="13"/>
        <v>0</v>
      </c>
      <c r="AC73" s="131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>
        <f ca="1">IF(C73&lt;=CRONO.NivelExibicao,MAX($AD$15:OFFSET(AD73,-1,0))+IF($C73&lt;&gt;1,1,MAX(1,COUNTIF(QCI!$A$13:$A$24,OFFSET($E73,-1,0)))),"")</f>
        <v>11</v>
      </c>
      <c r="AE73" s="7" t="b">
        <f ca="1">IF(AND($C73="S",ORÇAMENTO.CodBarra&lt;&gt;""),IF(ORÇAMENTO.Fonte="",ORÇAMENTO.CodBarra,CONCATENATE(ORÇAMENTO.Fonte," ",ORÇAMENTO.CodBarra)))</f>
        <v>0</v>
      </c>
      <c r="AF73" s="13" t="str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(Sem Código)</v>
      </c>
      <c r="AG73" s="498">
        <f ca="1">ROUND(IF(DESONERACAO="sim",REFERENCIA.Desonerado,REFERENCIA.NaoDesonerado),2)</f>
        <v>0</v>
      </c>
      <c r="AH73" s="499">
        <f t="shared" ca="1" si="14"/>
        <v>0.23380000000000001</v>
      </c>
      <c r="AJ73" s="501"/>
      <c r="AL73" s="527"/>
      <c r="AM73" s="381">
        <f t="shared" ca="1" si="0"/>
        <v>354658.68</v>
      </c>
      <c r="AN73" s="566">
        <f t="shared" ca="1" si="15"/>
        <v>0</v>
      </c>
    </row>
    <row r="74" spans="1:40" ht="25.5" x14ac:dyDescent="0.2">
      <c r="A74" t="str">
        <f t="shared" si="1"/>
        <v>S</v>
      </c>
      <c r="B74">
        <f t="shared" ca="1" si="2"/>
        <v>2</v>
      </c>
      <c r="C74" t="str">
        <f t="shared" ca="1" si="3"/>
        <v>S</v>
      </c>
      <c r="D74">
        <f t="shared" ca="1" si="4"/>
        <v>0</v>
      </c>
      <c r="E74">
        <f ca="1">IF($C74=1,OFFSET(E74,-1,0)+MAX(1,COUNTIF(QCI!$A$13:$A$24,OFFSET(ORÇAMENTO!E74,-1,0))),OFFSET(E74,-1,0))</f>
        <v>2</v>
      </c>
      <c r="F74">
        <f t="shared" ca="1" si="5"/>
        <v>4</v>
      </c>
      <c r="G74">
        <f t="shared" ca="1" si="6"/>
        <v>0</v>
      </c>
      <c r="H74">
        <f t="shared" ca="1" si="7"/>
        <v>0</v>
      </c>
      <c r="I74">
        <f t="shared" ca="1" si="8"/>
        <v>1</v>
      </c>
      <c r="J74">
        <f ca="1">IF(OR($C74="S",$C74=0),0,MATCH(0,OFFSET($D74,1,$C74,ROW($C$119)-ROW($C74)),0))</f>
        <v>0</v>
      </c>
      <c r="K74">
        <f ca="1">IF(OR($C74="S",$C74=0),0,MATCH(OFFSET($D74,0,$C74)+IF($C74&lt;&gt;1,1,COUNTIF(QCI!$A$13:$A$24,ORÇAMENTO!E74)),OFFSET($D74,1,$C74,ROW($C$119)-ROW($C74)),0))</f>
        <v>0</v>
      </c>
      <c r="L74" s="116" t="str">
        <f t="shared" ca="1" si="9"/>
        <v>F</v>
      </c>
      <c r="M74" s="117" t="s">
        <v>199</v>
      </c>
      <c r="N74" s="118" t="str">
        <f t="shared" ca="1" si="10"/>
        <v>Serviço</v>
      </c>
      <c r="O74" s="119" t="str">
        <f t="shared" ca="1" si="11"/>
        <v>2.4.1.</v>
      </c>
      <c r="P74" s="120" t="s">
        <v>450</v>
      </c>
      <c r="Q74" s="121" t="s">
        <v>497</v>
      </c>
      <c r="R74" s="122" t="str">
        <f ca="1">IF($C74="S",REFERENCIA.Descricao,"(digite a descrição aqui)")</f>
        <v>LIMPEZA E LAVAGEM DE PISTA COM CAMINHÃO PIPA E VASSOURA MECÂNICA</v>
      </c>
      <c r="S74" s="123" t="str">
        <f ca="1">REFERENCIA.Unidade</f>
        <v>M²</v>
      </c>
      <c r="T74" s="124">
        <f ca="1">OFFSET(CÁLCULO!H$15,ROW($T74)-ROW(T$15),0)</f>
        <v>3455.87</v>
      </c>
      <c r="U74" s="125">
        <f t="shared" ca="1" si="17"/>
        <v>1.03</v>
      </c>
      <c r="V74" s="126" t="s">
        <v>156</v>
      </c>
      <c r="W74" s="124">
        <f ca="1">IF($C74="S",ROUND(IF(TIPOORCAMENTO="Proposto",ORÇAMENTO.CustoUnitario*(1+$AH74),ORÇAMENTO.PrecoUnitarioLicitado),15-13*$AF$10),0)</f>
        <v>1.27</v>
      </c>
      <c r="X74" s="127">
        <f ca="1">IF($C74="S",IF(Import.TipoArredondamento&lt;&gt;"TransfereGOV",VTOTAL1,SUM(OFFSET(CÁLCULO!$AA$15,ROW($X74)-ROW($X$15),1):OFFSET(CÁLCULO!$AL$15,ROW($X74)-ROW($X$15),-1))),IF($C74=0,0,ROUND(SomaAgrup,15-13*$AF$11)))</f>
        <v>4388.95</v>
      </c>
      <c r="Y74" s="128" t="s">
        <v>245</v>
      </c>
      <c r="Z74" t="str">
        <f t="shared" ca="1" si="12"/>
        <v>RA</v>
      </c>
      <c r="AA74" s="129">
        <f ca="1">IF($C74="S",IF($Z74="CP",$X74,IF($Z74="RA",(($X74)*QCI!$AA$3),0)),SomaAgrup)</f>
        <v>4388.95</v>
      </c>
      <c r="AB74" s="130">
        <f t="shared" ca="1" si="13"/>
        <v>0</v>
      </c>
      <c r="AC74" s="131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 t="str">
        <f ca="1">IF(C74&lt;=CRONO.NivelExibicao,MAX($AD$15:OFFSET(AD74,-1,0))+IF($C74&lt;&gt;1,1,MAX(1,COUNTIF(QCI!$A$13:$A$24,OFFSET($E74,-1,0)))),"")</f>
        <v/>
      </c>
      <c r="AE74" s="7" t="str">
        <f ca="1">IF(AND($C74="S",ORÇAMENTO.CodBarra&lt;&gt;""),IF(ORÇAMENTO.Fonte="",ORÇAMENTO.CodBarra,CONCATENATE(ORÇAMENTO.Fonte," ",ORÇAMENTO.CodBarra)))</f>
        <v>Composição 6</v>
      </c>
      <c r="AF74" s="13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8</v>
      </c>
      <c r="AG74" s="498">
        <f ca="1">ROUND(IF(DESONERACAO="sim",REFERENCIA.Desonerado,REFERENCIA.NaoDesonerado),2)</f>
        <v>1.03</v>
      </c>
      <c r="AH74" s="499">
        <f t="shared" ca="1" si="14"/>
        <v>0.23380000000000001</v>
      </c>
      <c r="AJ74" s="501">
        <v>3455.87</v>
      </c>
      <c r="AL74" s="527"/>
      <c r="AM74" s="381">
        <f t="shared" ca="1" si="0"/>
        <v>4388.95</v>
      </c>
      <c r="AN74" s="566">
        <f t="shared" ca="1" si="15"/>
        <v>1.27</v>
      </c>
    </row>
    <row r="75" spans="1:40" x14ac:dyDescent="0.2">
      <c r="A75" t="str">
        <f t="shared" si="1"/>
        <v>S</v>
      </c>
      <c r="B75">
        <f t="shared" ca="1" si="2"/>
        <v>2</v>
      </c>
      <c r="C75" t="str">
        <f t="shared" ca="1" si="3"/>
        <v>S</v>
      </c>
      <c r="D75">
        <f t="shared" ca="1" si="4"/>
        <v>0</v>
      </c>
      <c r="E75">
        <f ca="1">IF($C75=1,OFFSET(E75,-1,0)+MAX(1,COUNTIF(QCI!$A$13:$A$24,OFFSET(ORÇAMENTO!E75,-1,0))),OFFSET(E75,-1,0))</f>
        <v>2</v>
      </c>
      <c r="F75">
        <f t="shared" ca="1" si="5"/>
        <v>4</v>
      </c>
      <c r="G75">
        <f t="shared" ca="1" si="6"/>
        <v>0</v>
      </c>
      <c r="H75">
        <f t="shared" ca="1" si="7"/>
        <v>0</v>
      </c>
      <c r="I75">
        <f t="shared" ca="1" si="8"/>
        <v>2</v>
      </c>
      <c r="J75">
        <f ca="1">IF(OR($C75="S",$C75=0),0,MATCH(0,OFFSET($D75,1,$C75,ROW($C$119)-ROW($C75)),0))</f>
        <v>0</v>
      </c>
      <c r="K75">
        <f ca="1">IF(OR($C75="S",$C75=0),0,MATCH(OFFSET($D75,0,$C75)+IF($C75&lt;&gt;1,1,COUNTIF(QCI!$A$13:$A$24,ORÇAMENTO!E75)),OFFSET($D75,1,$C75,ROW($C$119)-ROW($C75)),0))</f>
        <v>0</v>
      </c>
      <c r="L75" s="116" t="str">
        <f t="shared" ca="1" si="9"/>
        <v>F</v>
      </c>
      <c r="M75" s="117" t="s">
        <v>199</v>
      </c>
      <c r="N75" s="118" t="str">
        <f t="shared" ca="1" si="10"/>
        <v>Serviço</v>
      </c>
      <c r="O75" s="119" t="str">
        <f t="shared" ca="1" si="11"/>
        <v>2.4.2.</v>
      </c>
      <c r="P75" s="120" t="s">
        <v>474</v>
      </c>
      <c r="Q75" s="121" t="s">
        <v>481</v>
      </c>
      <c r="R75" s="122" t="str">
        <f ca="1">IF($C75="S",REFERENCIA.Descricao,"(digite a descrição aqui)")</f>
        <v>Pintura de ligação</v>
      </c>
      <c r="S75" s="123" t="str">
        <f ca="1">REFERENCIA.Unidade</f>
        <v>m²</v>
      </c>
      <c r="T75" s="124">
        <f ca="1">OFFSET(CÁLCULO!H$15,ROW($T75)-ROW(T$15),0)</f>
        <v>6911.74</v>
      </c>
      <c r="U75" s="125">
        <f t="shared" ca="1" si="17"/>
        <v>0.46</v>
      </c>
      <c r="V75" s="126" t="s">
        <v>156</v>
      </c>
      <c r="W75" s="124">
        <f ca="1">IF($C75="S",ROUND(IF(TIPOORCAMENTO="Proposto",ORÇAMENTO.CustoUnitario*(1+$AH75),ORÇAMENTO.PrecoUnitarioLicitado),15-13*$AF$10),0)</f>
        <v>0.56999999999999995</v>
      </c>
      <c r="X75" s="127">
        <f ca="1">IF($C75="S",IF(Import.TipoArredondamento&lt;&gt;"TransfereGOV",VTOTAL1,SUM(OFFSET(CÁLCULO!$AA$15,ROW($X75)-ROW($X$15),1):OFFSET(CÁLCULO!$AL$15,ROW($X75)-ROW($X$15),-1))),IF($C75=0,0,ROUND(SomaAgrup,15-13*$AF$11)))</f>
        <v>3939.69</v>
      </c>
      <c r="Y75" s="128" t="s">
        <v>245</v>
      </c>
      <c r="Z75" t="str">
        <f t="shared" ca="1" si="12"/>
        <v>RA</v>
      </c>
      <c r="AA75" s="129">
        <f ca="1">IF($C75="S",IF($Z75="CP",$X75,IF($Z75="RA",(($X75)*QCI!$AA$3),0)),SomaAgrup)</f>
        <v>3939.69</v>
      </c>
      <c r="AB75" s="130">
        <f t="shared" ca="1" si="13"/>
        <v>0</v>
      </c>
      <c r="AC75" s="131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 t="str">
        <f ca="1">IF(C75&lt;=CRONO.NivelExibicao,MAX($AD$15:OFFSET(AD75,-1,0))+IF($C75&lt;&gt;1,1,MAX(1,COUNTIF(QCI!$A$13:$A$24,OFFSET($E75,-1,0)))),"")</f>
        <v/>
      </c>
      <c r="AE75" s="7" t="str">
        <f ca="1">IF(AND($C75="S",ORÇAMENTO.CodBarra&lt;&gt;""),IF(ORÇAMENTO.Fonte="",ORÇAMENTO.CodBarra,CONCATENATE(ORÇAMENTO.Fonte," ",ORÇAMENTO.CodBarra)))</f>
        <v>SICRO 4011353</v>
      </c>
      <c r="AF75" s="13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20411</v>
      </c>
      <c r="AG75" s="498">
        <f ca="1">ROUND(IF(DESONERACAO="sim",REFERENCIA.Desonerado,REFERENCIA.NaoDesonerado),2)</f>
        <v>0.46</v>
      </c>
      <c r="AH75" s="499">
        <f t="shared" ca="1" si="14"/>
        <v>0.23380000000000001</v>
      </c>
      <c r="AJ75" s="501">
        <v>6911.74</v>
      </c>
      <c r="AL75" s="527"/>
      <c r="AM75" s="381">
        <f t="shared" ca="1" si="0"/>
        <v>3939.69</v>
      </c>
      <c r="AN75" s="566">
        <f t="shared" ca="1" si="15"/>
        <v>0.56999999999999995</v>
      </c>
    </row>
    <row r="76" spans="1:40" x14ac:dyDescent="0.2">
      <c r="A76" t="str">
        <f t="shared" si="1"/>
        <v>S</v>
      </c>
      <c r="B76">
        <f t="shared" ca="1" si="2"/>
        <v>2</v>
      </c>
      <c r="C76" t="str">
        <f t="shared" ca="1" si="3"/>
        <v>S</v>
      </c>
      <c r="D76">
        <f t="shared" ca="1" si="4"/>
        <v>0</v>
      </c>
      <c r="E76">
        <f ca="1">IF($C76=1,OFFSET(E76,-1,0)+MAX(1,COUNTIF(QCI!$A$13:$A$24,OFFSET(ORÇAMENTO!E76,-1,0))),OFFSET(E76,-1,0))</f>
        <v>2</v>
      </c>
      <c r="F76">
        <f t="shared" ca="1" si="5"/>
        <v>4</v>
      </c>
      <c r="G76">
        <f t="shared" ca="1" si="6"/>
        <v>0</v>
      </c>
      <c r="H76">
        <f t="shared" ca="1" si="7"/>
        <v>0</v>
      </c>
      <c r="I76">
        <f t="shared" ca="1" si="8"/>
        <v>3</v>
      </c>
      <c r="J76">
        <f ca="1">IF(OR($C76="S",$C76=0),0,MATCH(0,OFFSET($D76,1,$C76,ROW($C$119)-ROW($C76)),0))</f>
        <v>0</v>
      </c>
      <c r="K76">
        <f ca="1">IF(OR($C76="S",$C76=0),0,MATCH(OFFSET($D76,0,$C76)+IF($C76&lt;&gt;1,1,COUNTIF(QCI!$A$13:$A$24,ORÇAMENTO!E76)),OFFSET($D76,1,$C76,ROW($C$119)-ROW($C76)),0))</f>
        <v>0</v>
      </c>
      <c r="L76" s="116" t="str">
        <f t="shared" ca="1" si="9"/>
        <v>F</v>
      </c>
      <c r="M76" s="117" t="s">
        <v>199</v>
      </c>
      <c r="N76" s="118" t="str">
        <f t="shared" ca="1" si="10"/>
        <v>Serviço</v>
      </c>
      <c r="O76" s="119" t="str">
        <f t="shared" ca="1" si="11"/>
        <v>2.4.3.</v>
      </c>
      <c r="P76" s="120" t="s">
        <v>474</v>
      </c>
      <c r="Q76" s="121" t="s">
        <v>482</v>
      </c>
      <c r="R76" s="122" t="str">
        <f ca="1">IF($C76="S",REFERENCIA.Descricao,"(digite a descrição aqui)")</f>
        <v>Concreto asfáltico - faixa C-12,5 - areia e brita comerciais</v>
      </c>
      <c r="S76" s="123" t="str">
        <f ca="1">REFERENCIA.Unidade</f>
        <v>t</v>
      </c>
      <c r="T76" s="124">
        <f ca="1">OFFSET(CÁLCULO!H$15,ROW($T76)-ROW(T$15),0)</f>
        <v>528.77</v>
      </c>
      <c r="U76" s="125">
        <f t="shared" ca="1" si="17"/>
        <v>190.43</v>
      </c>
      <c r="V76" s="126" t="s">
        <v>156</v>
      </c>
      <c r="W76" s="124">
        <f ca="1">IF($C76="S",ROUND(IF(TIPOORCAMENTO="Proposto",ORÇAMENTO.CustoUnitario*(1+$AH76),ORÇAMENTO.PrecoUnitarioLicitado),15-13*$AF$10),0)</f>
        <v>234.95</v>
      </c>
      <c r="X76" s="127">
        <f ca="1">IF($C76="S",IF(Import.TipoArredondamento&lt;&gt;"TransfereGOV",VTOTAL1,SUM(OFFSET(CÁLCULO!$AA$15,ROW($X76)-ROW($X$15),1):OFFSET(CÁLCULO!$AL$15,ROW($X76)-ROW($X$15),-1))),IF($C76=0,0,ROUND(SomaAgrup,15-13*$AF$11)))</f>
        <v>124234.51</v>
      </c>
      <c r="Y76" s="128" t="s">
        <v>245</v>
      </c>
      <c r="Z76" t="str">
        <f t="shared" ca="1" si="12"/>
        <v>RA</v>
      </c>
      <c r="AA76" s="129">
        <f ca="1">IF($C76="S",IF($Z76="CP",$X76,IF($Z76="RA",(($X76)*QCI!$AA$3),0)),SomaAgrup)</f>
        <v>124234.51</v>
      </c>
      <c r="AB76" s="130">
        <f t="shared" ca="1" si="13"/>
        <v>0</v>
      </c>
      <c r="AC76" s="131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t="str">
        <f ca="1">IF(C76&lt;=CRONO.NivelExibicao,MAX($AD$15:OFFSET(AD76,-1,0))+IF($C76&lt;&gt;1,1,MAX(1,COUNTIF(QCI!$A$13:$A$24,OFFSET($E76,-1,0)))),"")</f>
        <v/>
      </c>
      <c r="AE76" s="7" t="str">
        <f ca="1">IF(AND($C76="S",ORÇAMENTO.CodBarra&lt;&gt;""),IF(ORÇAMENTO.Fonte="",ORÇAMENTO.CodBarra,CONCATENATE(ORÇAMENTO.Fonte," ",ORÇAMENTO.CodBarra)))</f>
        <v>SICRO 4011463</v>
      </c>
      <c r="AF76" s="13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20346</v>
      </c>
      <c r="AG76" s="498">
        <f ca="1">ROUND(IF(DESONERACAO="sim",REFERENCIA.Desonerado,REFERENCIA.NaoDesonerado),2)</f>
        <v>190.43</v>
      </c>
      <c r="AH76" s="499">
        <f t="shared" ca="1" si="14"/>
        <v>0.23380000000000001</v>
      </c>
      <c r="AJ76" s="501">
        <v>528.77</v>
      </c>
      <c r="AL76" s="527"/>
      <c r="AM76" s="381">
        <f t="shared" ca="1" si="0"/>
        <v>124234.51</v>
      </c>
      <c r="AN76" s="566">
        <f t="shared" ca="1" si="15"/>
        <v>234.95</v>
      </c>
    </row>
    <row r="77" spans="1:40" x14ac:dyDescent="0.2">
      <c r="A77" t="str">
        <f t="shared" si="1"/>
        <v>S</v>
      </c>
      <c r="B77">
        <f t="shared" ca="1" si="2"/>
        <v>2</v>
      </c>
      <c r="C77" t="str">
        <f t="shared" ca="1" si="3"/>
        <v>S</v>
      </c>
      <c r="D77">
        <f t="shared" ca="1" si="4"/>
        <v>0</v>
      </c>
      <c r="E77">
        <f ca="1">IF($C77=1,OFFSET(E77,-1,0)+MAX(1,COUNTIF(QCI!$A$13:$A$24,OFFSET(ORÇAMENTO!E77,-1,0))),OFFSET(E77,-1,0))</f>
        <v>2</v>
      </c>
      <c r="F77">
        <f t="shared" ca="1" si="5"/>
        <v>4</v>
      </c>
      <c r="G77">
        <f t="shared" ca="1" si="6"/>
        <v>0</v>
      </c>
      <c r="H77">
        <f t="shared" ca="1" si="7"/>
        <v>0</v>
      </c>
      <c r="I77">
        <f t="shared" ca="1" si="8"/>
        <v>4</v>
      </c>
      <c r="J77">
        <f ca="1">IF(OR($C77="S",$C77=0),0,MATCH(0,OFFSET($D77,1,$C77,ROW($C$119)-ROW($C77)),0))</f>
        <v>0</v>
      </c>
      <c r="K77">
        <f ca="1">IF(OR($C77="S",$C77=0),0,MATCH(OFFSET($D77,0,$C77)+IF($C77&lt;&gt;1,1,COUNTIF(QCI!$A$13:$A$24,ORÇAMENTO!E77)),OFFSET($D77,1,$C77,ROW($C$119)-ROW($C77)),0))</f>
        <v>0</v>
      </c>
      <c r="L77" s="116" t="str">
        <f t="shared" ca="1" si="9"/>
        <v>F</v>
      </c>
      <c r="M77" s="117" t="s">
        <v>199</v>
      </c>
      <c r="N77" s="118" t="str">
        <f t="shared" ca="1" si="10"/>
        <v>Serviço</v>
      </c>
      <c r="O77" s="119" t="str">
        <f t="shared" ca="1" si="11"/>
        <v>2.4.4.</v>
      </c>
      <c r="P77" s="120" t="s">
        <v>474</v>
      </c>
      <c r="Q77" s="121" t="s">
        <v>479</v>
      </c>
      <c r="R77" s="122" t="str">
        <f ca="1">IF($C77="S",REFERENCIA.Descricao,"(digite a descrição aqui)")</f>
        <v>Transporte com caminhão basculante de 10 m³ - rodovia pavimentada</v>
      </c>
      <c r="S77" s="123" t="str">
        <f ca="1">REFERENCIA.Unidade</f>
        <v>tkm</v>
      </c>
      <c r="T77" s="124">
        <f ca="1">OFFSET(CÁLCULO!H$15,ROW($T77)-ROW(T$15),0)</f>
        <v>15863.1</v>
      </c>
      <c r="U77" s="125">
        <f t="shared" ca="1" si="17"/>
        <v>0.82</v>
      </c>
      <c r="V77" s="126" t="s">
        <v>191</v>
      </c>
      <c r="W77" s="124">
        <f ca="1">IF($C77="S",ROUND(IF(TIPOORCAMENTO="Proposto",ORÇAMENTO.CustoUnitario*(1+$AH77),ORÇAMENTO.PrecoUnitarioLicitado),15-13*$AF$10),0)</f>
        <v>0.94</v>
      </c>
      <c r="X77" s="127">
        <f ca="1">IF($C77="S",IF(Import.TipoArredondamento&lt;&gt;"TransfereGOV",VTOTAL1,SUM(OFFSET(CÁLCULO!$AA$15,ROW($X77)-ROW($X$15),1):OFFSET(CÁLCULO!$AL$15,ROW($X77)-ROW($X$15),-1))),IF($C77=0,0,ROUND(SomaAgrup,15-13*$AF$11)))</f>
        <v>14911.31</v>
      </c>
      <c r="Y77" s="128" t="s">
        <v>245</v>
      </c>
      <c r="Z77" t="str">
        <f t="shared" ca="1" si="12"/>
        <v>RA</v>
      </c>
      <c r="AA77" s="129">
        <f ca="1">IF($C77="S",IF($Z77="CP",$X77,IF($Z77="RA",(($X77)*QCI!$AA$3),0)),SomaAgrup)</f>
        <v>14911.31</v>
      </c>
      <c r="AB77" s="130">
        <f t="shared" ca="1" si="13"/>
        <v>0</v>
      </c>
      <c r="AC77" s="131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 t="str">
        <f ca="1">IF(C77&lt;=CRONO.NivelExibicao,MAX($AD$15:OFFSET(AD77,-1,0))+IF($C77&lt;&gt;1,1,MAX(1,COUNTIF(QCI!$A$13:$A$24,OFFSET($E77,-1,0)))),"")</f>
        <v/>
      </c>
      <c r="AE77" s="7" t="str">
        <f ca="1">IF(AND($C77="S",ORÇAMENTO.CodBarra&lt;&gt;""),IF(ORÇAMENTO.Fonte="",ORÇAMENTO.CodBarra,CONCATENATE(ORÇAMENTO.Fonte," ",ORÇAMENTO.CodBarra)))</f>
        <v>SICRO 5914389</v>
      </c>
      <c r="AF77" s="13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21855</v>
      </c>
      <c r="AG77" s="498">
        <f ca="1">ROUND(IF(DESONERACAO="sim",REFERENCIA.Desonerado,REFERENCIA.NaoDesonerado),2)</f>
        <v>0.82</v>
      </c>
      <c r="AH77" s="499">
        <f t="shared" ca="1" si="14"/>
        <v>0.15</v>
      </c>
      <c r="AJ77" s="501">
        <v>15863.1</v>
      </c>
      <c r="AL77" s="527"/>
      <c r="AM77" s="381">
        <f t="shared" ca="1" si="0"/>
        <v>14911.31</v>
      </c>
      <c r="AN77" s="566">
        <f t="shared" ca="1" si="15"/>
        <v>0.94</v>
      </c>
    </row>
    <row r="78" spans="1:40" s="577" customFormat="1" ht="38.25" x14ac:dyDescent="0.2">
      <c r="A78" s="577" t="str">
        <f>CHOOSE(1+LOG(1+2*(ORÇAMENTO.Nivel="Meta")+4*(ORÇAMENTO.Nivel="Nível 2")+8*(ORÇAMENTO.Nivel="Nível 3")+16*(ORÇAMENTO.Nivel="Nível 4")+32*(ORÇAMENTO.Nivel="Serviço"),2),0,1,2,3,4,"S")</f>
        <v>S</v>
      </c>
      <c r="B78" s="577">
        <f ca="1">IF(OR(C78="s",C78=0),OFFSET(B78,-1,0),C78)</f>
        <v>2</v>
      </c>
      <c r="C78" s="577" t="str">
        <f ca="1">IF(OFFSET(C78,-1,0)="L",1,IF(OFFSET(C78,-1,0)=1,2,IF(OR(A78="s",A78=0),"S",IF(AND(OFFSET(C78,-1,0)=2,A78=4),3,IF(AND(OR(OFFSET(C78,-1,0)="s",OFFSET(C78,-1,0)=0),A78&lt;&gt;"s",A78&gt;OFFSET(B78,-1,0)),OFFSET(B78,-1,0),A78)))))</f>
        <v>S</v>
      </c>
      <c r="D78" s="577">
        <f ca="1">IF(OR(C78="S",C78=0),0,IF(ISERROR(K78),J78,SMALL(J78:K78,1)))</f>
        <v>0</v>
      </c>
      <c r="E78" s="577">
        <f ca="1">IF($C78=1,OFFSET(E78,-1,0)+MAX(1,COUNTIF(QCI!$A$13:$A$24,OFFSET(ORÇAMENTO!E78,-1,0))),OFFSET(E78,-1,0))</f>
        <v>2</v>
      </c>
      <c r="F78" s="577">
        <f ca="1">IF($C78=1,0,IF($C78=2,OFFSET(F78,-1,0)+1,OFFSET(F78,-1,0)))</f>
        <v>4</v>
      </c>
      <c r="G78" s="577">
        <f ca="1">IF(AND($C78&lt;=2,$C78&lt;&gt;0),0,IF($C78=3,OFFSET(G78,-1,0)+1,OFFSET(G78,-1,0)))</f>
        <v>0</v>
      </c>
      <c r="H78" s="577">
        <f ca="1">IF(AND($C78&lt;=3,$C78&lt;&gt;0),0,IF($C78=4,OFFSET(H78,-1,0)+1,OFFSET(H78,-1,0)))</f>
        <v>0</v>
      </c>
      <c r="I78" s="577">
        <f ca="1">IF(AND($C78&lt;=4,$C78&lt;&gt;0),0,IF(AND($C78="S",$X78&gt;0),OFFSET(I78,-1,0)+1,OFFSET(I78,-1,0)))</f>
        <v>5</v>
      </c>
      <c r="J78" s="577">
        <f ca="1">IF(OR($C78="S",$C78=0),0,MATCH(0,OFFSET($D78,1,$C78,ROW($C$119)-ROW($C78)),0))</f>
        <v>0</v>
      </c>
      <c r="K78" s="577">
        <f ca="1">IF(OR($C78="S",$C78=0),0,MATCH(OFFSET($D78,0,$C78)+IF($C78&lt;&gt;1,1,COUNTIF(QCI!$A$13:$A$24,ORÇAMENTO!E78)),OFFSET($D78,1,$C78,ROW($C$119)-ROW($C78)),0))</f>
        <v>0</v>
      </c>
      <c r="L78" s="116" t="str">
        <f ca="1">IF(OR($X78&gt;0,$C78=1,$C78=2,$C78=3,$C78=4),"F","")</f>
        <v>F</v>
      </c>
      <c r="M78" s="117" t="s">
        <v>199</v>
      </c>
      <c r="N78" s="118" t="str">
        <f ca="1">CHOOSE(1+LOG(1+2*(C78=1)+4*(C78=2)+8*(C78=3)+16*(C78=4)+32*(C78="S"),2),"","Meta","Nível 2","Nível 3","Nível 4","Serviço")</f>
        <v>Serviço</v>
      </c>
      <c r="O78" s="119" t="str">
        <f ca="1">IF(OR($C78=0,$L78=""),"-",CONCATENATE(E78&amp;".",IF(AND($A$5&gt;=2,$C78&gt;=2),F78&amp;".",""),IF(AND($A$5&gt;=3,$C78&gt;=3),G78&amp;".",""),IF(AND($A$5&gt;=4,$C78&gt;=4),H78&amp;".",""),IF($C78="S",I78&amp;".","")))</f>
        <v>2.4.5.</v>
      </c>
      <c r="P78" s="120" t="s">
        <v>474</v>
      </c>
      <c r="Q78" s="121" t="s">
        <v>501</v>
      </c>
      <c r="R78" s="122" t="str">
        <f ca="1">IF($C78="S",REFERENCIA.Descricao,"(digite a descrição aqui)")</f>
        <v>Carga, manobra e descarga de concreto asfáltico com borracha em caminhão basculante de 10 m³ - carga em usina de asfalto 100/140 t/h e descarga em vibroacabadora</v>
      </c>
      <c r="S78" s="123" t="str">
        <f ca="1">REFERENCIA.Unidade</f>
        <v>t</v>
      </c>
      <c r="T78" s="124">
        <f ca="1">OFFSET(CÁLCULO!H$15,ROW($T78)-ROW(T$15),0)</f>
        <v>528.77</v>
      </c>
      <c r="U78" s="125">
        <f t="shared" ca="1" si="17"/>
        <v>9.09</v>
      </c>
      <c r="V78" s="126" t="s">
        <v>156</v>
      </c>
      <c r="W78" s="124">
        <f ca="1">IF($C78="S",ROUND(IF(TIPOORCAMENTO="Proposto",ORÇAMENTO.CustoUnitario*(1+$AH78),ORÇAMENTO.PrecoUnitarioLicitado),15-13*$AF$10),0)</f>
        <v>11.22</v>
      </c>
      <c r="X78" s="127">
        <f ca="1">IF($C78="S",IF(Import.TipoArredondamento&lt;&gt;"TransfereGOV",VTOTAL1,SUM(OFFSET(CÁLCULO!$AA$15,ROW($X78)-ROW($X$15),1):OFFSET(CÁLCULO!$AL$15,ROW($X78)-ROW($X$15),-1))),IF($C78=0,0,ROUND(SomaAgrup,15-13*$AF$11)))</f>
        <v>5932.8</v>
      </c>
      <c r="Y78" s="128" t="s">
        <v>245</v>
      </c>
      <c r="Z78" s="577" t="str">
        <f ca="1">IF(AND($C78="S",$X78&gt;0),IF(ISBLANK($Y78),"RA",LEFT($Y78,2)),"")</f>
        <v>RA</v>
      </c>
      <c r="AA78" s="129">
        <f ca="1">IF($C78="S",IF($Z78="CP",$X78,IF($Z78="RA",(($X78)*QCI!$AA$3),0)),SomaAgrup)</f>
        <v>5932.8</v>
      </c>
      <c r="AB78" s="130">
        <f ca="1">IF($C78="S",IF($Z78="OU",ROUND($X78,2),0),SomaAgrup)</f>
        <v>0</v>
      </c>
      <c r="AC78" s="131" t="str">
        <f ca="1">IF($N78="","",IF(ORÇAMENTO.Descricao="","DESCRIÇÃO",IF(AND($C78="S",ORÇAMENTO.Unidade=""),"UNIDADE",IF($X78&lt;0,"VALOR NEGATIVO",IF(OR(AND(TIPOORCAMENTO="Proposto",$AG78&lt;&gt;"",$AG78&gt;0,ORÇAMENTO.CustoUnitario&gt;$AG78),AND(TIPOORCAMENTO="LICITADO",ORÇAMENTO.PrecoUnitarioLicitado&gt;$AN78)),"ACIMA REF.","")))))</f>
        <v/>
      </c>
      <c r="AD78" s="577" t="str">
        <f ca="1">IF(C78&lt;=CRONO.NivelExibicao,MAX($AD$15:OFFSET(AD78,-1,0))+IF($C78&lt;&gt;1,1,MAX(1,COUNTIF(QCI!$A$13:$A$24,OFFSET($E78,-1,0)))),"")</f>
        <v/>
      </c>
      <c r="AE78" s="7" t="str">
        <f ca="1">IF(AND($C78="S",ORÇAMENTO.CodBarra&lt;&gt;""),IF(ORÇAMENTO.Fonte="",ORÇAMENTO.CodBarra,CONCATENATE(ORÇAMENTO.Fonte," ",ORÇAMENTO.CodBarra)))</f>
        <v>SICRO 5914646</v>
      </c>
      <c r="AF78" s="576">
        <f ca="1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21777</v>
      </c>
      <c r="AG78" s="498">
        <f ca="1">ROUND(IF(DESONERACAO="sim",REFERENCIA.Desonerado,REFERENCIA.NaoDesonerado),2)</f>
        <v>9.09</v>
      </c>
      <c r="AH78" s="499">
        <f ca="1">ROUND(IF(ISNUMBER(ORÇAMENTO.OpcaoBDI),ORÇAMENTO.OpcaoBDI,IF(LEFT(ORÇAMENTO.OpcaoBDI,3)="BDI",HLOOKUP(ORÇAMENTO.OpcaoBDI,$F$4:$H$5,2,FALSE),0)),15-11*$AF$9)</f>
        <v>0.23380000000000001</v>
      </c>
      <c r="AJ78" s="501">
        <v>528.77</v>
      </c>
      <c r="AL78" s="527"/>
      <c r="AM78" s="381">
        <f t="shared" ca="1" si="0"/>
        <v>5932.8</v>
      </c>
      <c r="AN78" s="566">
        <f ca="1">ROUND(ORÇAMENTO.CustoUnitario*(1+$AH78),2)</f>
        <v>11.22</v>
      </c>
    </row>
    <row r="79" spans="1:40" s="577" customFormat="1" ht="25.5" x14ac:dyDescent="0.2">
      <c r="A79" s="577" t="str">
        <f t="shared" si="1"/>
        <v>S</v>
      </c>
      <c r="B79" s="577">
        <f t="shared" ca="1" si="2"/>
        <v>2</v>
      </c>
      <c r="C79" s="577" t="str">
        <f t="shared" ca="1" si="3"/>
        <v>S</v>
      </c>
      <c r="D79" s="577">
        <f t="shared" ca="1" si="4"/>
        <v>0</v>
      </c>
      <c r="E79" s="577">
        <f ca="1">IF($C79=1,OFFSET(E79,-1,0)+MAX(1,COUNTIF(QCI!$A$13:$A$24,OFFSET(ORÇAMENTO!E79,-1,0))),OFFSET(E79,-1,0))</f>
        <v>2</v>
      </c>
      <c r="F79" s="577">
        <f t="shared" ca="1" si="5"/>
        <v>4</v>
      </c>
      <c r="G79" s="577">
        <f t="shared" ca="1" si="6"/>
        <v>0</v>
      </c>
      <c r="H79" s="577">
        <f t="shared" ca="1" si="7"/>
        <v>0</v>
      </c>
      <c r="I79" s="577">
        <f t="shared" ca="1" si="8"/>
        <v>6</v>
      </c>
      <c r="J79" s="577">
        <f ca="1">IF(OR($C79="S",$C79=0),0,MATCH(0,OFFSET($D79,1,$C79,ROW($C$119)-ROW($C79)),0))</f>
        <v>0</v>
      </c>
      <c r="K79" s="577">
        <f ca="1">IF(OR($C79="S",$C79=0),0,MATCH(OFFSET($D79,0,$C79)+IF($C79&lt;&gt;1,1,COUNTIF(QCI!$A$13:$A$24,ORÇAMENTO!E79)),OFFSET($D79,1,$C79,ROW($C$119)-ROW($C79)),0))</f>
        <v>0</v>
      </c>
      <c r="L79" s="116" t="str">
        <f t="shared" ca="1" si="9"/>
        <v>F</v>
      </c>
      <c r="M79" s="117" t="s">
        <v>199</v>
      </c>
      <c r="N79" s="118" t="str">
        <f t="shared" ca="1" si="10"/>
        <v>Serviço</v>
      </c>
      <c r="O79" s="119" t="str">
        <f t="shared" ca="1" si="11"/>
        <v>2.4.6.</v>
      </c>
      <c r="P79" s="120" t="s">
        <v>483</v>
      </c>
      <c r="Q79" s="121" t="s">
        <v>484</v>
      </c>
      <c r="R79" s="122" t="str">
        <f ca="1">IF($C79="S",REFERENCIA.Descricao,"(digite a descrição aqui)")</f>
        <v xml:space="preserve">CIMENTO ASFÁLTICO CAP 50/70 (Base de preço: ANP CAP 50/70 + ICMS (17%) + PIS (0,65%) + COFINS (3%) </v>
      </c>
      <c r="S79" s="123" t="str">
        <f ca="1">REFERENCIA.Unidade</f>
        <v>TON</v>
      </c>
      <c r="T79" s="124">
        <f ca="1">OFFSET(CÁLCULO!H$15,ROW($T79)-ROW(T$15),0)</f>
        <v>29.32</v>
      </c>
      <c r="U79" s="125">
        <f t="shared" ca="1" si="17"/>
        <v>4645.1099999999997</v>
      </c>
      <c r="V79" s="126" t="s">
        <v>191</v>
      </c>
      <c r="W79" s="124">
        <f ca="1">IF($C79="S",ROUND(IF(TIPOORCAMENTO="Proposto",ORÇAMENTO.CustoUnitario*(1+$AH79),ORÇAMENTO.PrecoUnitarioLicitado),15-13*$AF$10),0)</f>
        <v>5341.88</v>
      </c>
      <c r="X79" s="127">
        <f ca="1">IF($C79="S",IF(Import.TipoArredondamento&lt;&gt;"TransfereGOV",VTOTAL1,SUM(OFFSET(CÁLCULO!$AA$15,ROW($X79)-ROW($X$15),1):OFFSET(CÁLCULO!$AL$15,ROW($X79)-ROW($X$15),-1))),IF($C79=0,0,ROUND(SomaAgrup,15-13*$AF$11)))</f>
        <v>156623.92000000001</v>
      </c>
      <c r="Y79" s="128" t="s">
        <v>245</v>
      </c>
      <c r="Z79" s="577" t="str">
        <f t="shared" ca="1" si="12"/>
        <v>RA</v>
      </c>
      <c r="AA79" s="129">
        <f ca="1">IF($C79="S",IF($Z79="CP",$X79,IF($Z79="RA",(($X79)*QCI!$AA$3),0)),SomaAgrup)</f>
        <v>156623.92000000001</v>
      </c>
      <c r="AB79" s="130">
        <f t="shared" ca="1" si="13"/>
        <v>0</v>
      </c>
      <c r="AC79" s="131" t="str">
        <f ca="1">IF($N79="","",IF(ORÇAMENTO.Descricao="","DESCRIÇÃO",IF(AND($C79="S",ORÇAMENTO.Unidade=""),"UNIDADE",IF($X79&lt;0,"VALOR NEGATIVO",IF(OR(AND(TIPOORCAMENTO="Proposto",$AG79&lt;&gt;"",$AG79&gt;0,ORÇAMENTO.CustoUnitario&gt;$AG79),AND(TIPOORCAMENTO="LICITADO",ORÇAMENTO.PrecoUnitarioLicitado&gt;$AN79)),"ACIMA REF.","")))))</f>
        <v/>
      </c>
      <c r="AD79" s="577" t="str">
        <f ca="1">IF(C79&lt;=CRONO.NivelExibicao,MAX($AD$15:OFFSET(AD79,-1,0))+IF($C79&lt;&gt;1,1,MAX(1,COUNTIF(QCI!$A$13:$A$24,OFFSET($E79,-1,0)))),"")</f>
        <v/>
      </c>
      <c r="AE79" s="7" t="str">
        <f ca="1">IF(AND($C79="S",ORÇAMENTO.CodBarra&lt;&gt;""),IF(ORÇAMENTO.Fonte="",ORÇAMENTO.CodBarra,CONCATENATE(ORÇAMENTO.Fonte," ",ORÇAMENTO.CodBarra)))</f>
        <v>Cotação 01</v>
      </c>
      <c r="AF79" s="576">
        <f ca="1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9</v>
      </c>
      <c r="AG79" s="498">
        <f ca="1">ROUND(IF(DESONERACAO="sim",REFERENCIA.Desonerado,REFERENCIA.NaoDesonerado),2)</f>
        <v>4645.1099999999997</v>
      </c>
      <c r="AH79" s="499">
        <f t="shared" ca="1" si="14"/>
        <v>0.15</v>
      </c>
      <c r="AJ79" s="501">
        <v>29.32</v>
      </c>
      <c r="AL79" s="527"/>
      <c r="AM79" s="381">
        <f t="shared" ca="1" si="0"/>
        <v>156623.92000000001</v>
      </c>
      <c r="AN79" s="566">
        <f t="shared" ca="1" si="15"/>
        <v>5341.88</v>
      </c>
    </row>
    <row r="80" spans="1:40" s="577" customFormat="1" ht="25.5" x14ac:dyDescent="0.2">
      <c r="A80" s="577" t="str">
        <f t="shared" si="1"/>
        <v>S</v>
      </c>
      <c r="B80" s="577">
        <f t="shared" ca="1" si="2"/>
        <v>2</v>
      </c>
      <c r="C80" s="577" t="str">
        <f t="shared" ca="1" si="3"/>
        <v>S</v>
      </c>
      <c r="D80" s="577">
        <f t="shared" ca="1" si="4"/>
        <v>0</v>
      </c>
      <c r="E80" s="577">
        <f ca="1">IF($C80=1,OFFSET(E80,-1,0)+MAX(1,COUNTIF(QCI!$A$13:$A$24,OFFSET(ORÇAMENTO!E80,-1,0))),OFFSET(E80,-1,0))</f>
        <v>2</v>
      </c>
      <c r="F80" s="577">
        <f t="shared" ca="1" si="5"/>
        <v>4</v>
      </c>
      <c r="G80" s="577">
        <f t="shared" ca="1" si="6"/>
        <v>0</v>
      </c>
      <c r="H80" s="577">
        <f t="shared" ca="1" si="7"/>
        <v>0</v>
      </c>
      <c r="I80" s="577">
        <f t="shared" ca="1" si="8"/>
        <v>7</v>
      </c>
      <c r="J80" s="577">
        <f ca="1">IF(OR($C80="S",$C80=0),0,MATCH(0,OFFSET($D80,1,$C80,ROW($C$119)-ROW($C80)),0))</f>
        <v>0</v>
      </c>
      <c r="K80" s="577">
        <f ca="1">IF(OR($C80="S",$C80=0),0,MATCH(OFFSET($D80,0,$C80)+IF($C80&lt;&gt;1,1,COUNTIF(QCI!$A$13:$A$24,ORÇAMENTO!E80)),OFFSET($D80,1,$C80,ROW($C$119)-ROW($C80)),0))</f>
        <v>0</v>
      </c>
      <c r="L80" s="116" t="str">
        <f t="shared" ca="1" si="9"/>
        <v>F</v>
      </c>
      <c r="M80" s="117" t="s">
        <v>199</v>
      </c>
      <c r="N80" s="118" t="str">
        <f t="shared" ca="1" si="10"/>
        <v>Serviço</v>
      </c>
      <c r="O80" s="119" t="str">
        <f t="shared" ca="1" si="11"/>
        <v>2.4.7.</v>
      </c>
      <c r="P80" s="120" t="s">
        <v>483</v>
      </c>
      <c r="Q80" s="121" t="s">
        <v>485</v>
      </c>
      <c r="R80" s="122" t="str">
        <f ca="1">IF($C80="S",REFERENCIA.Descricao,"(digite a descrição aqui)")</f>
        <v xml:space="preserve">EMULSÃO ASFÁLTICA RR-2C ( Base de preço: ANP EMULSÃO RR-2C + ICMS (17%) + PIS (0,65%) + COFINS (3%) </v>
      </c>
      <c r="S80" s="123" t="str">
        <f ca="1">REFERENCIA.Unidade</f>
        <v>LITRO</v>
      </c>
      <c r="T80" s="124">
        <f ca="1">OFFSET(CÁLCULO!H$15,ROW($T80)-ROW(T$15),0)</f>
        <v>1555.14</v>
      </c>
      <c r="U80" s="125">
        <f t="shared" ca="1" si="17"/>
        <v>3.83</v>
      </c>
      <c r="V80" s="126" t="s">
        <v>191</v>
      </c>
      <c r="W80" s="124">
        <f ca="1">IF($C80="S",ROUND(IF(TIPOORCAMENTO="Proposto",ORÇAMENTO.CustoUnitario*(1+$AH80),ORÇAMENTO.PrecoUnitarioLicitado),15-13*$AF$10),0)</f>
        <v>4.4000000000000004</v>
      </c>
      <c r="X80" s="127">
        <f ca="1">IF($C80="S",IF(Import.TipoArredondamento&lt;&gt;"TransfereGOV",VTOTAL1,SUM(OFFSET(CÁLCULO!$AA$15,ROW($X80)-ROW($X$15),1):OFFSET(CÁLCULO!$AL$15,ROW($X80)-ROW($X$15),-1))),IF($C80=0,0,ROUND(SomaAgrup,15-13*$AF$11)))</f>
        <v>6842.62</v>
      </c>
      <c r="Y80" s="128" t="s">
        <v>245</v>
      </c>
      <c r="Z80" s="577" t="str">
        <f t="shared" ca="1" si="12"/>
        <v>RA</v>
      </c>
      <c r="AA80" s="129">
        <f ca="1">IF($C80="S",IF($Z80="CP",$X80,IF($Z80="RA",(($X80)*QCI!$AA$3),0)),SomaAgrup)</f>
        <v>6842.62</v>
      </c>
      <c r="AB80" s="130">
        <f t="shared" ca="1" si="13"/>
        <v>0</v>
      </c>
      <c r="AC80" s="131" t="str">
        <f ca="1">IF($N80="","",IF(ORÇAMENTO.Descricao="","DESCRIÇÃO",IF(AND($C80="S",ORÇAMENTO.Unidade=""),"UNIDADE",IF($X80&lt;0,"VALOR NEGATIVO",IF(OR(AND(TIPOORCAMENTO="Proposto",$AG80&lt;&gt;"",$AG80&gt;0,ORÇAMENTO.CustoUnitario&gt;$AG80),AND(TIPOORCAMENTO="LICITADO",ORÇAMENTO.PrecoUnitarioLicitado&gt;$AN80)),"ACIMA REF.","")))))</f>
        <v/>
      </c>
      <c r="AD80" s="577" t="str">
        <f ca="1">IF(C80&lt;=CRONO.NivelExibicao,MAX($AD$15:OFFSET(AD80,-1,0))+IF($C80&lt;&gt;1,1,MAX(1,COUNTIF(QCI!$A$13:$A$24,OFFSET($E80,-1,0)))),"")</f>
        <v/>
      </c>
      <c r="AE80" s="7" t="str">
        <f ca="1">IF(AND($C80="S",ORÇAMENTO.CodBarra&lt;&gt;""),IF(ORÇAMENTO.Fonte="",ORÇAMENTO.CodBarra,CONCATENATE(ORÇAMENTO.Fonte," ",ORÇAMENTO.CodBarra)))</f>
        <v>Cotação 02</v>
      </c>
      <c r="AF80" s="576">
        <f ca="1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10</v>
      </c>
      <c r="AG80" s="498">
        <f ca="1">ROUND(IF(DESONERACAO="sim",REFERENCIA.Desonerado,REFERENCIA.NaoDesonerado),2)</f>
        <v>3.83</v>
      </c>
      <c r="AH80" s="499">
        <f t="shared" ca="1" si="14"/>
        <v>0.15</v>
      </c>
      <c r="AJ80" s="501">
        <v>1555.14</v>
      </c>
      <c r="AL80" s="527"/>
      <c r="AM80" s="381">
        <f t="shared" ca="1" si="0"/>
        <v>6842.62</v>
      </c>
      <c r="AN80" s="566">
        <f t="shared" ca="1" si="15"/>
        <v>4.4000000000000004</v>
      </c>
    </row>
    <row r="81" spans="1:40" s="577" customFormat="1" ht="25.5" x14ac:dyDescent="0.2">
      <c r="A81" s="577" t="str">
        <f t="shared" si="1"/>
        <v>S</v>
      </c>
      <c r="B81" s="577">
        <f t="shared" ca="1" si="2"/>
        <v>2</v>
      </c>
      <c r="C81" s="577" t="str">
        <f t="shared" ca="1" si="3"/>
        <v>S</v>
      </c>
      <c r="D81" s="577">
        <f t="shared" ca="1" si="4"/>
        <v>0</v>
      </c>
      <c r="E81" s="577">
        <f ca="1">IF($C81=1,OFFSET(E81,-1,0)+MAX(1,COUNTIF(QCI!$A$13:$A$24,OFFSET(ORÇAMENTO!E81,-1,0))),OFFSET(E81,-1,0))</f>
        <v>2</v>
      </c>
      <c r="F81" s="577">
        <f t="shared" ca="1" si="5"/>
        <v>4</v>
      </c>
      <c r="G81" s="577">
        <f t="shared" ca="1" si="6"/>
        <v>0</v>
      </c>
      <c r="H81" s="577">
        <f t="shared" ca="1" si="7"/>
        <v>0</v>
      </c>
      <c r="I81" s="577">
        <f t="shared" ca="1" si="8"/>
        <v>8</v>
      </c>
      <c r="J81" s="577">
        <f ca="1">IF(OR($C81="S",$C81=0),0,MATCH(0,OFFSET($D81,1,$C81,ROW($C$119)-ROW($C81)),0))</f>
        <v>0</v>
      </c>
      <c r="K81" s="577">
        <f ca="1">IF(OR($C81="S",$C81=0),0,MATCH(OFFSET($D81,0,$C81)+IF($C81&lt;&gt;1,1,COUNTIF(QCI!$A$13:$A$24,ORÇAMENTO!E81)),OFFSET($D81,1,$C81,ROW($C$119)-ROW($C81)),0))</f>
        <v>0</v>
      </c>
      <c r="L81" s="116" t="str">
        <f t="shared" ca="1" si="9"/>
        <v>F</v>
      </c>
      <c r="M81" s="117" t="s">
        <v>199</v>
      </c>
      <c r="N81" s="118" t="str">
        <f t="shared" ca="1" si="10"/>
        <v>Serviço</v>
      </c>
      <c r="O81" s="119" t="str">
        <f t="shared" ca="1" si="11"/>
        <v>2.4.8.</v>
      </c>
      <c r="P81" s="120" t="s">
        <v>474</v>
      </c>
      <c r="Q81" s="121" t="s">
        <v>486</v>
      </c>
      <c r="R81" s="122" t="str">
        <f ca="1">IF($C81="S",REFERENCIA.Descricao,"(digite a descrição aqui)")</f>
        <v>Transporte de material betuminoso com caminhão tanque distribuidor - rodovia pavimentada</v>
      </c>
      <c r="S81" s="123" t="str">
        <f ca="1">REFERENCIA.Unidade</f>
        <v>tkm</v>
      </c>
      <c r="T81" s="124">
        <f ca="1">OFFSET(CÁLCULO!H$15,ROW($T81)-ROW(T$15),0)</f>
        <v>14817.6</v>
      </c>
      <c r="U81" s="125">
        <f t="shared" ca="1" si="17"/>
        <v>2.2200000000000002</v>
      </c>
      <c r="V81" s="126" t="s">
        <v>191</v>
      </c>
      <c r="W81" s="124">
        <f ca="1">IF($C81="S",ROUND(IF(TIPOORCAMENTO="Proposto",ORÇAMENTO.CustoUnitario*(1+$AH81),ORÇAMENTO.PrecoUnitarioLicitado),15-13*$AF$10),0)</f>
        <v>2.5499999999999998</v>
      </c>
      <c r="X81" s="127">
        <f ca="1">IF($C81="S",IF(Import.TipoArredondamento&lt;&gt;"TransfereGOV",VTOTAL1,SUM(OFFSET(CÁLCULO!$AA$15,ROW($X81)-ROW($X$15),1):OFFSET(CÁLCULO!$AL$15,ROW($X81)-ROW($X$15),-1))),IF($C81=0,0,ROUND(SomaAgrup,15-13*$AF$11)))</f>
        <v>37784.879999999997</v>
      </c>
      <c r="Y81" s="128" t="s">
        <v>245</v>
      </c>
      <c r="Z81" s="577" t="str">
        <f t="shared" ca="1" si="12"/>
        <v>RA</v>
      </c>
      <c r="AA81" s="129">
        <f ca="1">IF($C81="S",IF($Z81="CP",$X81,IF($Z81="RA",(($X81)*QCI!$AA$3),0)),SomaAgrup)</f>
        <v>37784.879999999997</v>
      </c>
      <c r="AB81" s="130">
        <f t="shared" ca="1" si="13"/>
        <v>0</v>
      </c>
      <c r="AC81" s="131" t="str">
        <f ca="1">IF($N81="","",IF(ORÇAMENTO.Descricao="","DESCRIÇÃO",IF(AND($C81="S",ORÇAMENTO.Unidade=""),"UNIDADE",IF($X81&lt;0,"VALOR NEGATIVO",IF(OR(AND(TIPOORCAMENTO="Proposto",$AG81&lt;&gt;"",$AG81&gt;0,ORÇAMENTO.CustoUnitario&gt;$AG81),AND(TIPOORCAMENTO="LICITADO",ORÇAMENTO.PrecoUnitarioLicitado&gt;$AN81)),"ACIMA REF.","")))))</f>
        <v/>
      </c>
      <c r="AD81" s="577" t="str">
        <f ca="1">IF(C81&lt;=CRONO.NivelExibicao,MAX($AD$15:OFFSET(AD81,-1,0))+IF($C81&lt;&gt;1,1,MAX(1,COUNTIF(QCI!$A$13:$A$24,OFFSET($E81,-1,0)))),"")</f>
        <v/>
      </c>
      <c r="AE81" s="7" t="str">
        <f ca="1">IF(AND($C81="S",ORÇAMENTO.CodBarra&lt;&gt;""),IF(ORÇAMENTO.Fonte="",ORÇAMENTO.CodBarra,CONCATENATE(ORÇAMENTO.Fonte," ",ORÇAMENTO.CodBarra)))</f>
        <v>SICRO 5914622</v>
      </c>
      <c r="AF81" s="576">
        <f ca="1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21984</v>
      </c>
      <c r="AG81" s="498">
        <f ca="1">ROUND(IF(DESONERACAO="sim",REFERENCIA.Desonerado,REFERENCIA.NaoDesonerado),2)</f>
        <v>2.2200000000000002</v>
      </c>
      <c r="AH81" s="499">
        <f t="shared" ca="1" si="14"/>
        <v>0.15</v>
      </c>
      <c r="AJ81" s="501">
        <v>14817.6</v>
      </c>
      <c r="AL81" s="527"/>
      <c r="AM81" s="381">
        <f t="shared" ca="1" si="0"/>
        <v>37784.879999999997</v>
      </c>
      <c r="AN81" s="566">
        <f t="shared" ca="1" si="15"/>
        <v>2.5499999999999998</v>
      </c>
    </row>
    <row r="82" spans="1:40" x14ac:dyDescent="0.2">
      <c r="A82">
        <f t="shared" si="1"/>
        <v>2</v>
      </c>
      <c r="B82">
        <f t="shared" ca="1" si="2"/>
        <v>2</v>
      </c>
      <c r="C82">
        <f t="shared" ca="1" si="3"/>
        <v>2</v>
      </c>
      <c r="D82">
        <f t="shared" ca="1" si="4"/>
        <v>5</v>
      </c>
      <c r="E82">
        <f ca="1">IF($C82=1,OFFSET(E82,-1,0)+MAX(1,COUNTIF(QCI!$A$13:$A$24,OFFSET(ORÇAMENTO!E82,-1,0))),OFFSET(E82,-1,0))</f>
        <v>2</v>
      </c>
      <c r="F82">
        <f t="shared" ca="1" si="5"/>
        <v>5</v>
      </c>
      <c r="G82">
        <f t="shared" ca="1" si="6"/>
        <v>0</v>
      </c>
      <c r="H82">
        <f t="shared" ca="1" si="7"/>
        <v>0</v>
      </c>
      <c r="I82">
        <f t="shared" ca="1" si="8"/>
        <v>0</v>
      </c>
      <c r="J82">
        <f ca="1">IF(OR($C82="S",$C82=0),0,MATCH(0,OFFSET($D82,1,$C82,ROW($C$119)-ROW($C82)),0))</f>
        <v>5</v>
      </c>
      <c r="K82" t="e">
        <f ca="1">IF(OR($C82="S",$C82=0),0,MATCH(OFFSET($D82,0,$C82)+IF($C82&lt;&gt;1,1,COUNTIF(QCI!$A$13:$A$24,ORÇAMENTO!E82)),OFFSET($D82,1,$C82,ROW($C$119)-ROW($C82)),0))</f>
        <v>#N/A</v>
      </c>
      <c r="L82" s="116" t="str">
        <f t="shared" ca="1" si="9"/>
        <v>F</v>
      </c>
      <c r="M82" s="117" t="s">
        <v>196</v>
      </c>
      <c r="N82" s="118" t="str">
        <f t="shared" ca="1" si="10"/>
        <v>Nível 2</v>
      </c>
      <c r="O82" s="119" t="str">
        <f t="shared" ca="1" si="11"/>
        <v>2.5.</v>
      </c>
      <c r="P82" s="120" t="s">
        <v>247</v>
      </c>
      <c r="Q82" s="121"/>
      <c r="R82" s="122" t="s">
        <v>455</v>
      </c>
      <c r="S82" s="123" t="str">
        <f ca="1">REFERENCIA.Unidade</f>
        <v>-</v>
      </c>
      <c r="T82" s="124">
        <f ca="1">OFFSET(CÁLCULO!H$15,ROW($T82)-ROW(T$15),0)</f>
        <v>0</v>
      </c>
      <c r="U82" s="125">
        <f t="shared" ca="1" si="17"/>
        <v>0</v>
      </c>
      <c r="V82" s="126" t="s">
        <v>156</v>
      </c>
      <c r="W82" s="124">
        <f ca="1">IF($C82="S",ROUND(IF(TIPOORCAMENTO="Proposto",ORÇAMENTO.CustoUnitario*(1+$AH82),ORÇAMENTO.PrecoUnitarioLicitado),15-13*$AF$10),0)</f>
        <v>0</v>
      </c>
      <c r="X82" s="127">
        <f ca="1">IF($C82="S",IF(Import.TipoArredondamento&lt;&gt;"TransfereGOV",VTOTAL1,SUM(OFFSET(CÁLCULO!$AA$15,ROW($X82)-ROW($X$15),1):OFFSET(CÁLCULO!$AL$15,ROW($X82)-ROW($X$15),-1))),IF($C82=0,0,ROUND(SomaAgrup,15-13*$AF$11)))</f>
        <v>8585.59</v>
      </c>
      <c r="Y82" s="128" t="s">
        <v>245</v>
      </c>
      <c r="Z82" t="str">
        <f t="shared" ca="1" si="12"/>
        <v/>
      </c>
      <c r="AA82" s="129">
        <f ca="1">IF($C82="S",IF($Z82="CP",$X82,IF($Z82="RA",(($X82)*QCI!$AA$3),0)),SomaAgrup)</f>
        <v>8585.59</v>
      </c>
      <c r="AB82" s="130">
        <f t="shared" ca="1" si="13"/>
        <v>0</v>
      </c>
      <c r="AC82" s="131" t="str">
        <f ca="1">IF($N82="","",IF(ORÇAMENTO.Descricao="","DESCRIÇÃO",IF(AND($C82="S",ORÇAMENTO.Unidade=""),"UNIDADE",IF($X82&lt;0,"VALOR NEGATIVO",IF(OR(AND(TIPOORCAMENTO="Proposto",$AG82&lt;&gt;"",$AG82&gt;0,ORÇAMENTO.CustoUnitario&gt;$AG82),AND(TIPOORCAMENTO="LICITADO",ORÇAMENTO.PrecoUnitarioLicitado&gt;$AN82)),"ACIMA REF.","")))))</f>
        <v/>
      </c>
      <c r="AD82">
        <f ca="1">IF(C82&lt;=CRONO.NivelExibicao,MAX($AD$15:OFFSET(AD82,-1,0))+IF($C82&lt;&gt;1,1,MAX(1,COUNTIF(QCI!$A$13:$A$24,OFFSET($E82,-1,0)))),"")</f>
        <v>12</v>
      </c>
      <c r="AE82" s="7" t="b">
        <f ca="1">IF(AND($C82="S",ORÇAMENTO.CodBarra&lt;&gt;""),IF(ORÇAMENTO.Fonte="",ORÇAMENTO.CodBarra,CONCATENATE(ORÇAMENTO.Fonte," ",ORÇAMENTO.CodBarra)))</f>
        <v>0</v>
      </c>
      <c r="AF82" s="13" t="str">
        <f ca="1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(Sem Código)</v>
      </c>
      <c r="AG82" s="498">
        <f ca="1">ROUND(IF(DESONERACAO="sim",REFERENCIA.Desonerado,REFERENCIA.NaoDesonerado),2)</f>
        <v>0</v>
      </c>
      <c r="AH82" s="499">
        <f t="shared" ca="1" si="14"/>
        <v>0.23380000000000001</v>
      </c>
      <c r="AJ82" s="501"/>
      <c r="AL82" s="527"/>
      <c r="AM82" s="381">
        <f t="shared" ca="1" si="0"/>
        <v>8585.59</v>
      </c>
      <c r="AN82" s="566">
        <f t="shared" ca="1" si="15"/>
        <v>0</v>
      </c>
    </row>
    <row r="83" spans="1:40" ht="25.5" x14ac:dyDescent="0.2">
      <c r="A83" t="str">
        <f t="shared" si="1"/>
        <v>S</v>
      </c>
      <c r="B83">
        <f t="shared" ca="1" si="2"/>
        <v>2</v>
      </c>
      <c r="C83" t="str">
        <f t="shared" ca="1" si="3"/>
        <v>S</v>
      </c>
      <c r="D83">
        <f t="shared" ca="1" si="4"/>
        <v>0</v>
      </c>
      <c r="E83">
        <f ca="1">IF($C83=1,OFFSET(E83,-1,0)+MAX(1,COUNTIF(QCI!$A$13:$A$24,OFFSET(ORÇAMENTO!E83,-1,0))),OFFSET(E83,-1,0))</f>
        <v>2</v>
      </c>
      <c r="F83">
        <f t="shared" ca="1" si="5"/>
        <v>5</v>
      </c>
      <c r="G83">
        <f t="shared" ca="1" si="6"/>
        <v>0</v>
      </c>
      <c r="H83">
        <f t="shared" ca="1" si="7"/>
        <v>0</v>
      </c>
      <c r="I83">
        <f t="shared" ca="1" si="8"/>
        <v>1</v>
      </c>
      <c r="J83">
        <f ca="1">IF(OR($C83="S",$C83=0),0,MATCH(0,OFFSET($D83,1,$C83,ROW($C$119)-ROW($C83)),0))</f>
        <v>0</v>
      </c>
      <c r="K83">
        <f ca="1">IF(OR($C83="S",$C83=0),0,MATCH(OFFSET($D83,0,$C83)+IF($C83&lt;&gt;1,1,COUNTIF(QCI!$A$13:$A$24,ORÇAMENTO!E83)),OFFSET($D83,1,$C83,ROW($C$119)-ROW($C83)),0))</f>
        <v>0</v>
      </c>
      <c r="L83" s="116" t="str">
        <f t="shared" ca="1" si="9"/>
        <v>F</v>
      </c>
      <c r="M83" s="117" t="s">
        <v>199</v>
      </c>
      <c r="N83" s="118" t="str">
        <f t="shared" ca="1" si="10"/>
        <v>Serviço</v>
      </c>
      <c r="O83" s="119" t="str">
        <f t="shared" ca="1" si="11"/>
        <v>2.5.1.</v>
      </c>
      <c r="P83" s="120" t="s">
        <v>474</v>
      </c>
      <c r="Q83" s="121" t="s">
        <v>491</v>
      </c>
      <c r="R83" s="122" t="str">
        <f ca="1">IF($C83="S",REFERENCIA.Descricao,"(digite a descrição aqui)")</f>
        <v>Placa de advertência em aço, lado de 0,60 m - película retrorrefletiva tipo I + SI - fornecimento e implantação</v>
      </c>
      <c r="S83" s="123" t="str">
        <f ca="1">REFERENCIA.Unidade</f>
        <v>un</v>
      </c>
      <c r="T83" s="124">
        <f ca="1">OFFSET(CÁLCULO!H$15,ROW($T83)-ROW(T$15),0)</f>
        <v>8</v>
      </c>
      <c r="U83" s="125">
        <f t="shared" ca="1" si="17"/>
        <v>287.33999999999997</v>
      </c>
      <c r="V83" s="126" t="s">
        <v>156</v>
      </c>
      <c r="W83" s="124">
        <f ca="1">IF($C83="S",ROUND(IF(TIPOORCAMENTO="Proposto",ORÇAMENTO.CustoUnitario*(1+$AH83),ORÇAMENTO.PrecoUnitarioLicitado),15-13*$AF$10),0)</f>
        <v>354.52</v>
      </c>
      <c r="X83" s="127">
        <f ca="1">IF($C83="S",IF(Import.TipoArredondamento&lt;&gt;"TransfereGOV",VTOTAL1,SUM(OFFSET(CÁLCULO!$AA$15,ROW($X83)-ROW($X$15),1):OFFSET(CÁLCULO!$AL$15,ROW($X83)-ROW($X$15),-1))),IF($C83=0,0,ROUND(SomaAgrup,15-13*$AF$11)))</f>
        <v>2836.16</v>
      </c>
      <c r="Y83" s="128" t="s">
        <v>245</v>
      </c>
      <c r="Z83" t="str">
        <f t="shared" ca="1" si="12"/>
        <v>RA</v>
      </c>
      <c r="AA83" s="129">
        <f ca="1">IF($C83="S",IF($Z83="CP",$X83,IF($Z83="RA",(($X83)*QCI!$AA$3),0)),SomaAgrup)</f>
        <v>2836.16</v>
      </c>
      <c r="AB83" s="130">
        <f t="shared" ca="1" si="13"/>
        <v>0</v>
      </c>
      <c r="AC83" s="131" t="str">
        <f ca="1">IF($N83="","",IF(ORÇAMENTO.Descricao="","DESCRIÇÃO",IF(AND($C83="S",ORÇAMENTO.Unidade=""),"UNIDADE",IF($X83&lt;0,"VALOR NEGATIVO",IF(OR(AND(TIPOORCAMENTO="Proposto",$AG83&lt;&gt;"",$AG83&gt;0,ORÇAMENTO.CustoUnitario&gt;$AG83),AND(TIPOORCAMENTO="LICITADO",ORÇAMENTO.PrecoUnitarioLicitado&gt;$AN83)),"ACIMA REF.","")))))</f>
        <v/>
      </c>
      <c r="AD83" t="str">
        <f ca="1">IF(C83&lt;=CRONO.NivelExibicao,MAX($AD$15:OFFSET(AD83,-1,0))+IF($C83&lt;&gt;1,1,MAX(1,COUNTIF(QCI!$A$13:$A$24,OFFSET($E83,-1,0)))),"")</f>
        <v/>
      </c>
      <c r="AE83" s="7" t="str">
        <f ca="1">IF(AND($C83="S",ORÇAMENTO.CodBarra&lt;&gt;""),IF(ORÇAMENTO.Fonte="",ORÇAMENTO.CodBarra,CONCATENATE(ORÇAMENTO.Fonte," ",ORÇAMENTO.CodBarra)))</f>
        <v>SICRO 5213464</v>
      </c>
      <c r="AF83" s="13">
        <f ca="1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21013</v>
      </c>
      <c r="AG83" s="498">
        <f ca="1">ROUND(IF(DESONERACAO="sim",REFERENCIA.Desonerado,REFERENCIA.NaoDesonerado),2)</f>
        <v>287.33999999999997</v>
      </c>
      <c r="AH83" s="499">
        <f t="shared" ca="1" si="14"/>
        <v>0.23380000000000001</v>
      </c>
      <c r="AJ83" s="501">
        <v>8</v>
      </c>
      <c r="AL83" s="527"/>
      <c r="AM83" s="381">
        <f t="shared" ca="1" si="0"/>
        <v>2836.16</v>
      </c>
      <c r="AN83" s="566">
        <f t="shared" ca="1" si="15"/>
        <v>354.52</v>
      </c>
    </row>
    <row r="84" spans="1:40" ht="25.5" x14ac:dyDescent="0.2">
      <c r="A84" t="str">
        <f t="shared" si="1"/>
        <v>S</v>
      </c>
      <c r="B84">
        <f t="shared" ca="1" si="2"/>
        <v>2</v>
      </c>
      <c r="C84" t="str">
        <f t="shared" ca="1" si="3"/>
        <v>S</v>
      </c>
      <c r="D84">
        <f t="shared" ca="1" si="4"/>
        <v>0</v>
      </c>
      <c r="E84">
        <f ca="1">IF($C84=1,OFFSET(E84,-1,0)+MAX(1,COUNTIF(QCI!$A$13:$A$24,OFFSET(ORÇAMENTO!E84,-1,0))),OFFSET(E84,-1,0))</f>
        <v>2</v>
      </c>
      <c r="F84">
        <f t="shared" ca="1" si="5"/>
        <v>5</v>
      </c>
      <c r="G84">
        <f t="shared" ca="1" si="6"/>
        <v>0</v>
      </c>
      <c r="H84">
        <f t="shared" ca="1" si="7"/>
        <v>0</v>
      </c>
      <c r="I84">
        <f t="shared" ca="1" si="8"/>
        <v>2</v>
      </c>
      <c r="J84">
        <f ca="1">IF(OR($C84="S",$C84=0),0,MATCH(0,OFFSET($D84,1,$C84,ROW($C$119)-ROW($C84)),0))</f>
        <v>0</v>
      </c>
      <c r="K84">
        <f ca="1">IF(OR($C84="S",$C84=0),0,MATCH(OFFSET($D84,0,$C84)+IF($C84&lt;&gt;1,1,COUNTIF(QCI!$A$13:$A$24,ORÇAMENTO!E84)),OFFSET($D84,1,$C84,ROW($C$119)-ROW($C84)),0))</f>
        <v>0</v>
      </c>
      <c r="L84" s="116" t="str">
        <f t="shared" ca="1" si="9"/>
        <v>F</v>
      </c>
      <c r="M84" s="117" t="s">
        <v>199</v>
      </c>
      <c r="N84" s="118" t="str">
        <f t="shared" ca="1" si="10"/>
        <v>Serviço</v>
      </c>
      <c r="O84" s="119" t="str">
        <f t="shared" ca="1" si="11"/>
        <v>2.5.2.</v>
      </c>
      <c r="P84" s="120" t="s">
        <v>474</v>
      </c>
      <c r="Q84" s="121" t="s">
        <v>498</v>
      </c>
      <c r="R84" s="122" t="str">
        <f ca="1">IF($C84="S",REFERENCIA.Descricao,"(digite a descrição aqui)")</f>
        <v>Placa em aço nº 16 galvanizado com película retrorrefletiva tipo I + SI - confecção</v>
      </c>
      <c r="S84" s="123" t="str">
        <f ca="1">REFERENCIA.Unidade</f>
        <v>m²</v>
      </c>
      <c r="T84" s="124">
        <f ca="1">OFFSET(CÁLCULO!H$15,ROW($T84)-ROW(T$15),0)</f>
        <v>0.25</v>
      </c>
      <c r="U84" s="125">
        <f t="shared" ca="1" si="17"/>
        <v>627.27</v>
      </c>
      <c r="V84" s="126" t="s">
        <v>156</v>
      </c>
      <c r="W84" s="124">
        <f ca="1">IF($C84="S",ROUND(IF(TIPOORCAMENTO="Proposto",ORÇAMENTO.CustoUnitario*(1+$AH84),ORÇAMENTO.PrecoUnitarioLicitado),15-13*$AF$10),0)</f>
        <v>773.93</v>
      </c>
      <c r="X84" s="127">
        <f ca="1">IF($C84="S",IF(Import.TipoArredondamento&lt;&gt;"TransfereGOV",VTOTAL1,SUM(OFFSET(CÁLCULO!$AA$15,ROW($X84)-ROW($X$15),1):OFFSET(CÁLCULO!$AL$15,ROW($X84)-ROW($X$15),-1))),IF($C84=0,0,ROUND(SomaAgrup,15-13*$AF$11)))</f>
        <v>193.48</v>
      </c>
      <c r="Y84" s="128" t="s">
        <v>245</v>
      </c>
      <c r="Z84" t="str">
        <f t="shared" ca="1" si="12"/>
        <v>RA</v>
      </c>
      <c r="AA84" s="129">
        <f ca="1">IF($C84="S",IF($Z84="CP",$X84,IF($Z84="RA",(($X84)*QCI!$AA$3),0)),SomaAgrup)</f>
        <v>193.48</v>
      </c>
      <c r="AB84" s="130">
        <f t="shared" ca="1" si="13"/>
        <v>0</v>
      </c>
      <c r="AC84" s="131" t="str">
        <f ca="1">IF($N84="","",IF(ORÇAMENTO.Descricao="","DESCRIÇÃO",IF(AND($C84="S",ORÇAMENTO.Unidade=""),"UNIDADE",IF($X84&lt;0,"VALOR NEGATIVO",IF(OR(AND(TIPOORCAMENTO="Proposto",$AG84&lt;&gt;"",$AG84&gt;0,ORÇAMENTO.CustoUnitario&gt;$AG84),AND(TIPOORCAMENTO="LICITADO",ORÇAMENTO.PrecoUnitarioLicitado&gt;$AN84)),"ACIMA REF.","")))))</f>
        <v/>
      </c>
      <c r="AD84" t="str">
        <f ca="1">IF(C84&lt;=CRONO.NivelExibicao,MAX($AD$15:OFFSET(AD84,-1,0))+IF($C84&lt;&gt;1,1,MAX(1,COUNTIF(QCI!$A$13:$A$24,OFFSET($E84,-1,0)))),"")</f>
        <v/>
      </c>
      <c r="AE84" s="7" t="str">
        <f ca="1">IF(AND($C84="S",ORÇAMENTO.CodBarra&lt;&gt;""),IF(ORÇAMENTO.Fonte="",ORÇAMENTO.CodBarra,CONCATENATE(ORÇAMENTO.Fonte," ",ORÇAMENTO.CodBarra)))</f>
        <v>SICRO 5213414</v>
      </c>
      <c r="AF84" s="13">
        <f ca="1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21093</v>
      </c>
      <c r="AG84" s="498">
        <f ca="1">ROUND(IF(DESONERACAO="sim",REFERENCIA.Desonerado,REFERENCIA.NaoDesonerado),2)</f>
        <v>627.27</v>
      </c>
      <c r="AH84" s="499">
        <f t="shared" ca="1" si="14"/>
        <v>0.23380000000000001</v>
      </c>
      <c r="AJ84" s="501">
        <v>0.25</v>
      </c>
      <c r="AL84" s="527"/>
      <c r="AM84" s="381">
        <f t="shared" ca="1" si="0"/>
        <v>193.48</v>
      </c>
      <c r="AN84" s="566">
        <f t="shared" ca="1" si="15"/>
        <v>773.93</v>
      </c>
    </row>
    <row r="85" spans="1:40" ht="25.5" x14ac:dyDescent="0.2">
      <c r="A85" t="str">
        <f t="shared" si="1"/>
        <v>S</v>
      </c>
      <c r="B85">
        <f t="shared" ca="1" si="2"/>
        <v>2</v>
      </c>
      <c r="C85" t="str">
        <f t="shared" ca="1" si="3"/>
        <v>S</v>
      </c>
      <c r="D85">
        <f t="shared" ca="1" si="4"/>
        <v>0</v>
      </c>
      <c r="E85">
        <f ca="1">IF($C85=1,OFFSET(E85,-1,0)+MAX(1,COUNTIF(QCI!$A$13:$A$24,OFFSET(ORÇAMENTO!E85,-1,0))),OFFSET(E85,-1,0))</f>
        <v>2</v>
      </c>
      <c r="F85">
        <f t="shared" ca="1" si="5"/>
        <v>5</v>
      </c>
      <c r="G85">
        <f t="shared" ca="1" si="6"/>
        <v>0</v>
      </c>
      <c r="H85">
        <f t="shared" ca="1" si="7"/>
        <v>0</v>
      </c>
      <c r="I85">
        <f t="shared" ca="1" si="8"/>
        <v>3</v>
      </c>
      <c r="J85">
        <f ca="1">IF(OR($C85="S",$C85=0),0,MATCH(0,OFFSET($D85,1,$C85,ROW($C$119)-ROW($C85)),0))</f>
        <v>0</v>
      </c>
      <c r="K85">
        <f ca="1">IF(OR($C85="S",$C85=0),0,MATCH(OFFSET($D85,0,$C85)+IF($C85&lt;&gt;1,1,COUNTIF(QCI!$A$13:$A$24,ORÇAMENTO!E85)),OFFSET($D85,1,$C85,ROW($C$119)-ROW($C85)),0))</f>
        <v>0</v>
      </c>
      <c r="L85" s="116" t="str">
        <f t="shared" ca="1" si="9"/>
        <v>F</v>
      </c>
      <c r="M85" s="117" t="s">
        <v>199</v>
      </c>
      <c r="N85" s="118" t="str">
        <f t="shared" ca="1" si="10"/>
        <v>Serviço</v>
      </c>
      <c r="O85" s="119" t="str">
        <f t="shared" ca="1" si="11"/>
        <v>2.5.3.</v>
      </c>
      <c r="P85" s="120" t="s">
        <v>474</v>
      </c>
      <c r="Q85" s="121" t="s">
        <v>489</v>
      </c>
      <c r="R85" s="122" t="str">
        <f ca="1">IF($C85="S",REFERENCIA.Descricao,"(digite a descrição aqui)")</f>
        <v>Suporte metálico galvanizado para placa de advertência ou regulamentação - lado ou diâmetro de 0,60 m - fornecimento e implantação</v>
      </c>
      <c r="S85" s="123" t="str">
        <f ca="1">REFERENCIA.Unidade</f>
        <v>un</v>
      </c>
      <c r="T85" s="124">
        <f ca="1">OFFSET(CÁLCULO!H$15,ROW($T85)-ROW(T$15),0)</f>
        <v>9</v>
      </c>
      <c r="U85" s="125">
        <f t="shared" ca="1" si="17"/>
        <v>497.25</v>
      </c>
      <c r="V85" s="126" t="s">
        <v>156</v>
      </c>
      <c r="W85" s="124">
        <f ca="1">IF($C85="S",ROUND(IF(TIPOORCAMENTO="Proposto",ORÇAMENTO.CustoUnitario*(1+$AH85),ORÇAMENTO.PrecoUnitarioLicitado),15-13*$AF$10),0)</f>
        <v>613.51</v>
      </c>
      <c r="X85" s="127">
        <f ca="1">IF($C85="S",IF(Import.TipoArredondamento&lt;&gt;"TransfereGOV",VTOTAL1,SUM(OFFSET(CÁLCULO!$AA$15,ROW($X85)-ROW($X$15),1):OFFSET(CÁLCULO!$AL$15,ROW($X85)-ROW($X$15),-1))),IF($C85=0,0,ROUND(SomaAgrup,15-13*$AF$11)))</f>
        <v>5521.59</v>
      </c>
      <c r="Y85" s="128" t="s">
        <v>245</v>
      </c>
      <c r="Z85" t="str">
        <f t="shared" ca="1" si="12"/>
        <v>RA</v>
      </c>
      <c r="AA85" s="129">
        <f ca="1">IF($C85="S",IF($Z85="CP",$X85,IF($Z85="RA",(($X85)*QCI!$AA$3),0)),SomaAgrup)</f>
        <v>5521.59</v>
      </c>
      <c r="AB85" s="130">
        <f t="shared" ca="1" si="13"/>
        <v>0</v>
      </c>
      <c r="AC85" s="131" t="str">
        <f ca="1">IF($N85="","",IF(ORÇAMENTO.Descricao="","DESCRIÇÃO",IF(AND($C85="S",ORÇAMENTO.Unidade=""),"UNIDADE",IF($X85&lt;0,"VALOR NEGATIVO",IF(OR(AND(TIPOORCAMENTO="Proposto",$AG85&lt;&gt;"",$AG85&gt;0,ORÇAMENTO.CustoUnitario&gt;$AG85),AND(TIPOORCAMENTO="LICITADO",ORÇAMENTO.PrecoUnitarioLicitado&gt;$AN85)),"ACIMA REF.","")))))</f>
        <v/>
      </c>
      <c r="AD85" t="str">
        <f ca="1">IF(C85&lt;=CRONO.NivelExibicao,MAX($AD$15:OFFSET(AD85,-1,0))+IF($C85&lt;&gt;1,1,MAX(1,COUNTIF(QCI!$A$13:$A$24,OFFSET($E85,-1,0)))),"")</f>
        <v/>
      </c>
      <c r="AE85" s="7" t="str">
        <f ca="1">IF(AND($C85="S",ORÇAMENTO.CodBarra&lt;&gt;""),IF(ORÇAMENTO.Fonte="",ORÇAMENTO.CodBarra,CONCATENATE(ORÇAMENTO.Fonte," ",ORÇAMENTO.CodBarra)))</f>
        <v>SICRO 5213863</v>
      </c>
      <c r="AF85" s="13">
        <f ca="1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21198</v>
      </c>
      <c r="AG85" s="498">
        <f ca="1">ROUND(IF(DESONERACAO="sim",REFERENCIA.Desonerado,REFERENCIA.NaoDesonerado),2)</f>
        <v>497.25</v>
      </c>
      <c r="AH85" s="499">
        <f t="shared" ca="1" si="14"/>
        <v>0.23380000000000001</v>
      </c>
      <c r="AJ85" s="501">
        <v>9</v>
      </c>
      <c r="AL85" s="527"/>
      <c r="AM85" s="381">
        <f t="shared" ca="1" si="0"/>
        <v>5521.59</v>
      </c>
      <c r="AN85" s="566">
        <f t="shared" ca="1" si="15"/>
        <v>613.51</v>
      </c>
    </row>
    <row r="86" spans="1:40" x14ac:dyDescent="0.2">
      <c r="A86" t="str">
        <f t="shared" si="1"/>
        <v>S</v>
      </c>
      <c r="B86">
        <f t="shared" ca="1" si="2"/>
        <v>2</v>
      </c>
      <c r="C86" t="str">
        <f t="shared" ca="1" si="3"/>
        <v>S</v>
      </c>
      <c r="D86">
        <f t="shared" ca="1" si="4"/>
        <v>0</v>
      </c>
      <c r="E86">
        <f ca="1">IF($C86=1,OFFSET(E86,-1,0)+MAX(1,COUNTIF(QCI!$A$13:$A$24,OFFSET(ORÇAMENTO!E86,-1,0))),OFFSET(E86,-1,0))</f>
        <v>2</v>
      </c>
      <c r="F86">
        <f t="shared" ca="1" si="5"/>
        <v>5</v>
      </c>
      <c r="G86">
        <f t="shared" ca="1" si="6"/>
        <v>0</v>
      </c>
      <c r="H86">
        <f t="shared" ca="1" si="7"/>
        <v>0</v>
      </c>
      <c r="I86">
        <f t="shared" ca="1" si="8"/>
        <v>4</v>
      </c>
      <c r="J86">
        <f ca="1">IF(OR($C86="S",$C86=0),0,MATCH(0,OFFSET($D86,1,$C86,ROW($C$119)-ROW($C86)),0))</f>
        <v>0</v>
      </c>
      <c r="K86">
        <f ca="1">IF(OR($C86="S",$C86=0),0,MATCH(OFFSET($D86,0,$C86)+IF($C86&lt;&gt;1,1,COUNTIF(QCI!$A$13:$A$24,ORÇAMENTO!E86)),OFFSET($D86,1,$C86,ROW($C$119)-ROW($C86)),0))</f>
        <v>0</v>
      </c>
      <c r="L86" s="116" t="str">
        <f t="shared" ca="1" si="9"/>
        <v>F</v>
      </c>
      <c r="M86" s="117" t="s">
        <v>199</v>
      </c>
      <c r="N86" s="118" t="str">
        <f t="shared" ca="1" si="10"/>
        <v>Serviço</v>
      </c>
      <c r="O86" s="119" t="str">
        <f t="shared" ca="1" si="11"/>
        <v>2.5.4.</v>
      </c>
      <c r="P86" s="120" t="s">
        <v>474</v>
      </c>
      <c r="Q86" s="121" t="s">
        <v>490</v>
      </c>
      <c r="R86" s="122" t="str">
        <f ca="1">IF($C86="S",REFERENCIA.Descricao,"(digite a descrição aqui)")</f>
        <v>Pintura de faixa com tinta acrílica - espessura de 0,6 mm</v>
      </c>
      <c r="S86" s="123" t="str">
        <f ca="1">REFERENCIA.Unidade</f>
        <v>m²</v>
      </c>
      <c r="T86" s="124">
        <f ca="1">OFFSET(CÁLCULO!H$15,ROW($T86)-ROW(T$15),0)</f>
        <v>1</v>
      </c>
      <c r="U86" s="125">
        <f t="shared" ca="1" si="17"/>
        <v>27.85</v>
      </c>
      <c r="V86" s="126" t="s">
        <v>156</v>
      </c>
      <c r="W86" s="124">
        <f ca="1">IF($C86="S",ROUND(IF(TIPOORCAMENTO="Proposto",ORÇAMENTO.CustoUnitario*(1+$AH86),ORÇAMENTO.PrecoUnitarioLicitado),15-13*$AF$10),0)</f>
        <v>34.36</v>
      </c>
      <c r="X86" s="127">
        <f ca="1">IF($C86="S",IF(Import.TipoArredondamento&lt;&gt;"TransfereGOV",VTOTAL1,SUM(OFFSET(CÁLCULO!$AA$15,ROW($X86)-ROW($X$15),1):OFFSET(CÁLCULO!$AL$15,ROW($X86)-ROW($X$15),-1))),IF($C86=0,0,ROUND(SomaAgrup,15-13*$AF$11)))</f>
        <v>34.36</v>
      </c>
      <c r="Y86" s="128" t="s">
        <v>245</v>
      </c>
      <c r="Z86" t="str">
        <f t="shared" ca="1" si="12"/>
        <v>RA</v>
      </c>
      <c r="AA86" s="129">
        <f ca="1">IF($C86="S",IF($Z86="CP",$X86,IF($Z86="RA",(($X86)*QCI!$AA$3),0)),SomaAgrup)</f>
        <v>34.36</v>
      </c>
      <c r="AB86" s="130">
        <f t="shared" ca="1" si="13"/>
        <v>0</v>
      </c>
      <c r="AC86" s="131" t="str">
        <f ca="1">IF($N86="","",IF(ORÇAMENTO.Descricao="","DESCRIÇÃO",IF(AND($C86="S",ORÇAMENTO.Unidade=""),"UNIDADE",IF($X86&lt;0,"VALOR NEGATIVO",IF(OR(AND(TIPOORCAMENTO="Proposto",$AG86&lt;&gt;"",$AG86&gt;0,ORÇAMENTO.CustoUnitario&gt;$AG86),AND(TIPOORCAMENTO="LICITADO",ORÇAMENTO.PrecoUnitarioLicitado&gt;$AN86)),"ACIMA REF.","")))))</f>
        <v/>
      </c>
      <c r="AD86" t="str">
        <f ca="1">IF(C86&lt;=CRONO.NivelExibicao,MAX($AD$15:OFFSET(AD86,-1,0))+IF($C86&lt;&gt;1,1,MAX(1,COUNTIF(QCI!$A$13:$A$24,OFFSET($E86,-1,0)))),"")</f>
        <v/>
      </c>
      <c r="AE86" s="7" t="str">
        <f ca="1">IF(AND($C86="S",ORÇAMENTO.CodBarra&lt;&gt;""),IF(ORÇAMENTO.Fonte="",ORÇAMENTO.CodBarra,CONCATENATE(ORÇAMENTO.Fonte," ",ORÇAMENTO.CodBarra)))</f>
        <v>SICRO 5213401</v>
      </c>
      <c r="AF86" s="13">
        <f ca="1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21001</v>
      </c>
      <c r="AG86" s="498">
        <f ca="1">ROUND(IF(DESONERACAO="sim",REFERENCIA.Desonerado,REFERENCIA.NaoDesonerado),2)</f>
        <v>27.85</v>
      </c>
      <c r="AH86" s="499">
        <f t="shared" ca="1" si="14"/>
        <v>0.23380000000000001</v>
      </c>
      <c r="AJ86" s="501">
        <v>1</v>
      </c>
      <c r="AL86" s="527"/>
      <c r="AM86" s="381">
        <f t="shared" ca="1" si="0"/>
        <v>34.36</v>
      </c>
      <c r="AN86" s="566">
        <f t="shared" ca="1" si="15"/>
        <v>34.36</v>
      </c>
    </row>
    <row r="87" spans="1:40" x14ac:dyDescent="0.2">
      <c r="A87">
        <f t="shared" si="1"/>
        <v>1</v>
      </c>
      <c r="B87">
        <f t="shared" ca="1" si="2"/>
        <v>1</v>
      </c>
      <c r="C87">
        <f t="shared" ca="1" si="3"/>
        <v>1</v>
      </c>
      <c r="D87">
        <f t="shared" ca="1" si="4"/>
        <v>32</v>
      </c>
      <c r="E87">
        <f ca="1">IF($C87=1,OFFSET(E87,-1,0)+MAX(1,COUNTIF(QCI!$A$13:$A$24,OFFSET(ORÇAMENTO!E87,-1,0))),OFFSET(E87,-1,0))</f>
        <v>3</v>
      </c>
      <c r="F87">
        <f t="shared" ca="1" si="5"/>
        <v>0</v>
      </c>
      <c r="G87">
        <f t="shared" ca="1" si="6"/>
        <v>0</v>
      </c>
      <c r="H87">
        <f t="shared" ca="1" si="7"/>
        <v>0</v>
      </c>
      <c r="I87">
        <f t="shared" ca="1" si="8"/>
        <v>0</v>
      </c>
      <c r="J87">
        <f ca="1">IF(OR($C87="S",$C87=0),0,MATCH(0,OFFSET($D87,1,$C87,ROW($C$119)-ROW($C87)),0))</f>
        <v>32</v>
      </c>
      <c r="K87" t="e">
        <f ca="1">IF(OR($C87="S",$C87=0),0,MATCH(OFFSET($D87,0,$C87)+IF($C87&lt;&gt;1,1,COUNTIF(QCI!$A$13:$A$24,ORÇAMENTO!E87)),OFFSET($D87,1,$C87,ROW($C$119)-ROW($C87)),0))</f>
        <v>#N/A</v>
      </c>
      <c r="L87" s="116" t="str">
        <f t="shared" ca="1" si="9"/>
        <v>F</v>
      </c>
      <c r="M87" s="117" t="s">
        <v>195</v>
      </c>
      <c r="N87" s="118" t="str">
        <f t="shared" ca="1" si="10"/>
        <v>Meta</v>
      </c>
      <c r="O87" s="119" t="str">
        <f t="shared" ca="1" si="11"/>
        <v>3.</v>
      </c>
      <c r="P87" s="120" t="s">
        <v>247</v>
      </c>
      <c r="Q87" s="121"/>
      <c r="R87" s="122" t="s">
        <v>469</v>
      </c>
      <c r="S87" s="123" t="str">
        <f ca="1">REFERENCIA.Unidade</f>
        <v>-</v>
      </c>
      <c r="T87" s="124">
        <f ca="1">OFFSET(CÁLCULO!H$15,ROW($T87)-ROW(T$15),0)</f>
        <v>0</v>
      </c>
      <c r="U87" s="125">
        <f t="shared" ca="1" si="17"/>
        <v>0</v>
      </c>
      <c r="V87" s="126" t="s">
        <v>156</v>
      </c>
      <c r="W87" s="124">
        <f ca="1">IF($C87="S",ROUND(IF(TIPOORCAMENTO="Proposto",ORÇAMENTO.CustoUnitario*(1+$AH87),ORÇAMENTO.PrecoUnitarioLicitado),15-13*$AF$10),0)</f>
        <v>0</v>
      </c>
      <c r="X87" s="127">
        <f ca="1">IF($C87="S",IF(Import.TipoArredondamento&lt;&gt;"TransfereGOV",VTOTAL1,SUM(OFFSET(CÁLCULO!$AA$15,ROW($X87)-ROW($X$15),1):OFFSET(CÁLCULO!$AL$15,ROW($X87)-ROW($X$15),-1))),IF($C87=0,0,ROUND(SomaAgrup,15-13*$AF$11)))</f>
        <v>374186.44</v>
      </c>
      <c r="Y87" s="128" t="s">
        <v>245</v>
      </c>
      <c r="Z87" t="str">
        <f t="shared" ca="1" si="12"/>
        <v/>
      </c>
      <c r="AA87" s="129">
        <f ca="1">IF($C87="S",IF($Z87="CP",$X87,IF($Z87="RA",(($X87)*QCI!$AA$3),0)),SomaAgrup)</f>
        <v>374186.43999999994</v>
      </c>
      <c r="AB87" s="130">
        <f t="shared" ca="1" si="13"/>
        <v>0</v>
      </c>
      <c r="AC87" s="131" t="str">
        <f ca="1">IF($N87="","",IF(ORÇAMENTO.Descricao="","DESCRIÇÃO",IF(AND($C87="S",ORÇAMENTO.Unidade=""),"UNIDADE",IF($X87&lt;0,"VALOR NEGATIVO",IF(OR(AND(TIPOORCAMENTO="Proposto",$AG87&lt;&gt;"",$AG87&gt;0,ORÇAMENTO.CustoUnitario&gt;$AG87),AND(TIPOORCAMENTO="LICITADO",ORÇAMENTO.PrecoUnitarioLicitado&gt;$AN87)),"ACIMA REF.","")))))</f>
        <v/>
      </c>
      <c r="AD87">
        <f ca="1">IF(C87&lt;=CRONO.NivelExibicao,MAX($AD$15:OFFSET(AD87,-1,0))+IF($C87&lt;&gt;1,1,MAX(1,COUNTIF(QCI!$A$13:$A$24,OFFSET($E87,-1,0)))),"")</f>
        <v>13</v>
      </c>
      <c r="AE87" s="7" t="b">
        <f ca="1">IF(AND($C87="S",ORÇAMENTO.CodBarra&lt;&gt;""),IF(ORÇAMENTO.Fonte="",ORÇAMENTO.CodBarra,CONCATENATE(ORÇAMENTO.Fonte," ",ORÇAMENTO.CodBarra)))</f>
        <v>0</v>
      </c>
      <c r="AF87" s="13" t="str">
        <f ca="1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(Sem Código)</v>
      </c>
      <c r="AG87" s="498">
        <f ca="1">ROUND(IF(DESONERACAO="sim",REFERENCIA.Desonerado,REFERENCIA.NaoDesonerado),2)</f>
        <v>0</v>
      </c>
      <c r="AH87" s="499">
        <f t="shared" ca="1" si="14"/>
        <v>0.23380000000000001</v>
      </c>
      <c r="AJ87" s="501"/>
      <c r="AL87" s="527"/>
      <c r="AM87" s="381">
        <f t="shared" ca="1" si="0"/>
        <v>374186.44</v>
      </c>
      <c r="AN87" s="566">
        <f t="shared" ca="1" si="15"/>
        <v>0</v>
      </c>
    </row>
    <row r="88" spans="1:40" x14ac:dyDescent="0.2">
      <c r="A88">
        <f t="shared" si="1"/>
        <v>2</v>
      </c>
      <c r="B88">
        <f t="shared" ca="1" si="2"/>
        <v>2</v>
      </c>
      <c r="C88">
        <f t="shared" ca="1" si="3"/>
        <v>2</v>
      </c>
      <c r="D88">
        <f t="shared" ca="1" si="4"/>
        <v>4</v>
      </c>
      <c r="E88">
        <f ca="1">IF($C88=1,OFFSET(E88,-1,0)+MAX(1,COUNTIF(QCI!$A$13:$A$24,OFFSET(ORÇAMENTO!E88,-1,0))),OFFSET(E88,-1,0))</f>
        <v>3</v>
      </c>
      <c r="F88">
        <f t="shared" ca="1" si="5"/>
        <v>1</v>
      </c>
      <c r="G88">
        <f t="shared" ca="1" si="6"/>
        <v>0</v>
      </c>
      <c r="H88">
        <f t="shared" ca="1" si="7"/>
        <v>0</v>
      </c>
      <c r="I88">
        <f t="shared" ca="1" si="8"/>
        <v>0</v>
      </c>
      <c r="J88">
        <f ca="1">IF(OR($C88="S",$C88=0),0,MATCH(0,OFFSET($D88,1,$C88,ROW($C$119)-ROW($C88)),0))</f>
        <v>31</v>
      </c>
      <c r="K88">
        <f ca="1">IF(OR($C88="S",$C88=0),0,MATCH(OFFSET($D88,0,$C88)+IF($C88&lt;&gt;1,1,COUNTIF(QCI!$A$13:$A$24,ORÇAMENTO!E88)),OFFSET($D88,1,$C88,ROW($C$119)-ROW($C88)),0))</f>
        <v>4</v>
      </c>
      <c r="L88" s="116" t="str">
        <f t="shared" ca="1" si="9"/>
        <v>F</v>
      </c>
      <c r="M88" s="117" t="s">
        <v>196</v>
      </c>
      <c r="N88" s="118" t="str">
        <f t="shared" ca="1" si="10"/>
        <v>Nível 2</v>
      </c>
      <c r="O88" s="119" t="str">
        <f t="shared" ca="1" si="11"/>
        <v>3.1.</v>
      </c>
      <c r="P88" s="120" t="s">
        <v>247</v>
      </c>
      <c r="Q88" s="121"/>
      <c r="R88" s="122" t="s">
        <v>465</v>
      </c>
      <c r="S88" s="123" t="str">
        <f ca="1">REFERENCIA.Unidade</f>
        <v>-</v>
      </c>
      <c r="T88" s="124">
        <f ca="1">OFFSET(CÁLCULO!H$15,ROW($T88)-ROW(T$15),0)</f>
        <v>0</v>
      </c>
      <c r="U88" s="125">
        <f t="shared" ca="1" si="17"/>
        <v>0</v>
      </c>
      <c r="V88" s="126" t="s">
        <v>156</v>
      </c>
      <c r="W88" s="124">
        <f ca="1">IF($C88="S",ROUND(IF(TIPOORCAMENTO="Proposto",ORÇAMENTO.CustoUnitario*(1+$AH88),ORÇAMENTO.PrecoUnitarioLicitado),15-13*$AF$10),0)</f>
        <v>0</v>
      </c>
      <c r="X88" s="127">
        <f ca="1">IF($C88="S",IF(Import.TipoArredondamento&lt;&gt;"TransfereGOV",VTOTAL1,SUM(OFFSET(CÁLCULO!$AA$15,ROW($X88)-ROW($X$15),1):OFFSET(CÁLCULO!$AL$15,ROW($X88)-ROW($X$15),-1))),IF($C88=0,0,ROUND(SomaAgrup,15-13*$AF$11)))</f>
        <v>8049.5</v>
      </c>
      <c r="Y88" s="128" t="s">
        <v>245</v>
      </c>
      <c r="Z88" t="str">
        <f t="shared" ca="1" si="12"/>
        <v/>
      </c>
      <c r="AA88" s="129">
        <f ca="1">IF($C88="S",IF($Z88="CP",$X88,IF($Z88="RA",(($X88)*QCI!$AA$3),0)),SomaAgrup)</f>
        <v>8049.5</v>
      </c>
      <c r="AB88" s="130">
        <f t="shared" ca="1" si="13"/>
        <v>0</v>
      </c>
      <c r="AC88" s="131" t="str">
        <f ca="1">IF($N88="","",IF(ORÇAMENTO.Descricao="","DESCRIÇÃO",IF(AND($C88="S",ORÇAMENTO.Unidade=""),"UNIDADE",IF($X88&lt;0,"VALOR NEGATIVO",IF(OR(AND(TIPOORCAMENTO="Proposto",$AG88&lt;&gt;"",$AG88&gt;0,ORÇAMENTO.CustoUnitario&gt;$AG88),AND(TIPOORCAMENTO="LICITADO",ORÇAMENTO.PrecoUnitarioLicitado&gt;$AN88)),"ACIMA REF.","")))))</f>
        <v/>
      </c>
      <c r="AD88">
        <f ca="1">IF(C88&lt;=CRONO.NivelExibicao,MAX($AD$15:OFFSET(AD88,-1,0))+IF($C88&lt;&gt;1,1,MAX(1,COUNTIF(QCI!$A$13:$A$24,OFFSET($E88,-1,0)))),"")</f>
        <v>14</v>
      </c>
      <c r="AE88" s="7" t="b">
        <f ca="1">IF(AND($C88="S",ORÇAMENTO.CodBarra&lt;&gt;""),IF(ORÇAMENTO.Fonte="",ORÇAMENTO.CodBarra,CONCATENATE(ORÇAMENTO.Fonte," ",ORÇAMENTO.CodBarra)))</f>
        <v>0</v>
      </c>
      <c r="AF88" s="13" t="str">
        <f ca="1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(Sem Código)</v>
      </c>
      <c r="AG88" s="498">
        <f ca="1">ROUND(IF(DESONERACAO="sim",REFERENCIA.Desonerado,REFERENCIA.NaoDesonerado),2)</f>
        <v>0</v>
      </c>
      <c r="AH88" s="499">
        <f t="shared" ca="1" si="14"/>
        <v>0.23380000000000001</v>
      </c>
      <c r="AJ88" s="501"/>
      <c r="AL88" s="527"/>
      <c r="AM88" s="381">
        <f t="shared" ca="1" si="0"/>
        <v>8049.5</v>
      </c>
      <c r="AN88" s="566">
        <f t="shared" ca="1" si="15"/>
        <v>0</v>
      </c>
    </row>
    <row r="89" spans="1:40" ht="25.5" x14ac:dyDescent="0.2">
      <c r="A89" t="str">
        <f t="shared" si="1"/>
        <v>S</v>
      </c>
      <c r="B89">
        <f t="shared" ca="1" si="2"/>
        <v>2</v>
      </c>
      <c r="C89" t="str">
        <f t="shared" ca="1" si="3"/>
        <v>S</v>
      </c>
      <c r="D89">
        <f t="shared" ca="1" si="4"/>
        <v>0</v>
      </c>
      <c r="E89">
        <f ca="1">IF($C89=1,OFFSET(E89,-1,0)+MAX(1,COUNTIF(QCI!$A$13:$A$24,OFFSET(ORÇAMENTO!E89,-1,0))),OFFSET(E89,-1,0))</f>
        <v>3</v>
      </c>
      <c r="F89">
        <f t="shared" ca="1" si="5"/>
        <v>1</v>
      </c>
      <c r="G89">
        <f t="shared" ca="1" si="6"/>
        <v>0</v>
      </c>
      <c r="H89">
        <f t="shared" ca="1" si="7"/>
        <v>0</v>
      </c>
      <c r="I89">
        <f t="shared" ca="1" si="8"/>
        <v>1</v>
      </c>
      <c r="J89">
        <f ca="1">IF(OR($C89="S",$C89=0),0,MATCH(0,OFFSET($D89,1,$C89,ROW($C$119)-ROW($C89)),0))</f>
        <v>0</v>
      </c>
      <c r="K89">
        <f ca="1">IF(OR($C89="S",$C89=0),0,MATCH(OFFSET($D89,0,$C89)+IF($C89&lt;&gt;1,1,COUNTIF(QCI!$A$13:$A$24,ORÇAMENTO!E89)),OFFSET($D89,1,$C89,ROW($C$119)-ROW($C89)),0))</f>
        <v>0</v>
      </c>
      <c r="L89" s="116" t="str">
        <f t="shared" ca="1" si="9"/>
        <v>F</v>
      </c>
      <c r="M89" s="117" t="s">
        <v>199</v>
      </c>
      <c r="N89" s="118" t="str">
        <f t="shared" ca="1" si="10"/>
        <v>Serviço</v>
      </c>
      <c r="O89" s="119" t="str">
        <f t="shared" ca="1" si="11"/>
        <v>3.1.1.</v>
      </c>
      <c r="P89" s="120" t="s">
        <v>474</v>
      </c>
      <c r="Q89" s="121" t="s">
        <v>475</v>
      </c>
      <c r="R89" s="122" t="str">
        <f ca="1">IF($C89="S",REFERENCIA.Descricao,"(digite a descrição aqui)")</f>
        <v>Placa em aço - 3,00 x 1,50 m - película retrorrefletiva tipo I + I - fornecimento e implantação</v>
      </c>
      <c r="S89" s="123" t="str">
        <f ca="1">REFERENCIA.Unidade</f>
        <v>un</v>
      </c>
      <c r="T89" s="124">
        <f ca="1">OFFSET(CÁLCULO!H$15,ROW($T89)-ROW(T$15),0)</f>
        <v>1</v>
      </c>
      <c r="U89" s="125">
        <f t="shared" ca="1" si="17"/>
        <v>1898.36</v>
      </c>
      <c r="V89" s="126" t="s">
        <v>156</v>
      </c>
      <c r="W89" s="124">
        <f ca="1">IF($C89="S",ROUND(IF(TIPOORCAMENTO="Proposto",ORÇAMENTO.CustoUnitario*(1+$AH89),ORÇAMENTO.PrecoUnitarioLicitado),15-13*$AF$10),0)</f>
        <v>2342.1999999999998</v>
      </c>
      <c r="X89" s="127">
        <f ca="1">IF($C89="S",IF(Import.TipoArredondamento&lt;&gt;"TransfereGOV",VTOTAL1,SUM(OFFSET(CÁLCULO!$AA$15,ROW($X89)-ROW($X$15),1):OFFSET(CÁLCULO!$AL$15,ROW($X89)-ROW($X$15),-1))),IF($C89=0,0,ROUND(SomaAgrup,15-13*$AF$11)))</f>
        <v>2342.1999999999998</v>
      </c>
      <c r="Y89" s="128" t="s">
        <v>245</v>
      </c>
      <c r="Z89" t="str">
        <f t="shared" ca="1" si="12"/>
        <v>RA</v>
      </c>
      <c r="AA89" s="129">
        <f ca="1">IF($C89="S",IF($Z89="CP",$X89,IF($Z89="RA",(($X89)*QCI!$AA$3),0)),SomaAgrup)</f>
        <v>2342.1999999999998</v>
      </c>
      <c r="AB89" s="130">
        <f t="shared" ca="1" si="13"/>
        <v>0</v>
      </c>
      <c r="AC89" s="131" t="str">
        <f ca="1">IF($N89="","",IF(ORÇAMENTO.Descricao="","DESCRIÇÃO",IF(AND($C89="S",ORÇAMENTO.Unidade=""),"UNIDADE",IF($X89&lt;0,"VALOR NEGATIVO",IF(OR(AND(TIPOORCAMENTO="Proposto",$AG89&lt;&gt;"",$AG89&gt;0,ORÇAMENTO.CustoUnitario&gt;$AG89),AND(TIPOORCAMENTO="LICITADO",ORÇAMENTO.PrecoUnitarioLicitado&gt;$AN89)),"ACIMA REF.","")))))</f>
        <v/>
      </c>
      <c r="AD89" t="str">
        <f ca="1">IF(C89&lt;=CRONO.NivelExibicao,MAX($AD$15:OFFSET(AD89,-1,0))+IF($C89&lt;&gt;1,1,MAX(1,COUNTIF(QCI!$A$13:$A$24,OFFSET($E89,-1,0)))),"")</f>
        <v/>
      </c>
      <c r="AE89" s="7" t="str">
        <f ca="1">IF(AND($C89="S",ORÇAMENTO.CodBarra&lt;&gt;""),IF(ORÇAMENTO.Fonte="",ORÇAMENTO.CodBarra,CONCATENATE(ORÇAMENTO.Fonte," ",ORÇAMENTO.CodBarra)))</f>
        <v>SICRO 5213490</v>
      </c>
      <c r="AF89" s="13">
        <f ca="1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21062</v>
      </c>
      <c r="AG89" s="498">
        <f ca="1">ROUND(IF(DESONERACAO="sim",REFERENCIA.Desonerado,REFERENCIA.NaoDesonerado),2)</f>
        <v>1898.36</v>
      </c>
      <c r="AH89" s="499">
        <f t="shared" ca="1" si="14"/>
        <v>0.23380000000000001</v>
      </c>
      <c r="AJ89" s="501">
        <v>1</v>
      </c>
      <c r="AL89" s="527"/>
      <c r="AM89" s="381">
        <f t="shared" ca="1" si="0"/>
        <v>2342.1999999999998</v>
      </c>
      <c r="AN89" s="566">
        <f t="shared" ca="1" si="15"/>
        <v>2342.1999999999998</v>
      </c>
    </row>
    <row r="90" spans="1:40" s="577" customFormat="1" ht="25.5" x14ac:dyDescent="0.2">
      <c r="A90" s="577" t="str">
        <f>CHOOSE(1+LOG(1+2*(ORÇAMENTO.Nivel="Meta")+4*(ORÇAMENTO.Nivel="Nível 2")+8*(ORÇAMENTO.Nivel="Nível 3")+16*(ORÇAMENTO.Nivel="Nível 4")+32*(ORÇAMENTO.Nivel="Serviço"),2),0,1,2,3,4,"S")</f>
        <v>S</v>
      </c>
      <c r="B90" s="577">
        <f ca="1">IF(OR(C90="s",C90=0),OFFSET(B90,-1,0),C90)</f>
        <v>2</v>
      </c>
      <c r="C90" s="577" t="str">
        <f ca="1">IF(OFFSET(C90,-1,0)="L",1,IF(OFFSET(C90,-1,0)=1,2,IF(OR(A90="s",A90=0),"S",IF(AND(OFFSET(C90,-1,0)=2,A90=4),3,IF(AND(OR(OFFSET(C90,-1,0)="s",OFFSET(C90,-1,0)=0),A90&lt;&gt;"s",A90&gt;OFFSET(B90,-1,0)),OFFSET(B90,-1,0),A90)))))</f>
        <v>S</v>
      </c>
      <c r="D90" s="577">
        <f ca="1">IF(OR(C90="S",C90=0),0,IF(ISERROR(K90),J90,SMALL(J90:K90,1)))</f>
        <v>0</v>
      </c>
      <c r="E90" s="577">
        <f ca="1">IF($C90=1,OFFSET(E90,-1,0)+MAX(1,COUNTIF(QCI!$A$13:$A$24,OFFSET(ORÇAMENTO!E90,-1,0))),OFFSET(E90,-1,0))</f>
        <v>3</v>
      </c>
      <c r="F90" s="577">
        <f ca="1">IF($C90=1,0,IF($C90=2,OFFSET(F90,-1,0)+1,OFFSET(F90,-1,0)))</f>
        <v>1</v>
      </c>
      <c r="G90" s="577">
        <f ca="1">IF(AND($C90&lt;=2,$C90&lt;&gt;0),0,IF($C90=3,OFFSET(G90,-1,0)+1,OFFSET(G90,-1,0)))</f>
        <v>0</v>
      </c>
      <c r="H90" s="577">
        <f ca="1">IF(AND($C90&lt;=3,$C90&lt;&gt;0),0,IF($C90=4,OFFSET(H90,-1,0)+1,OFFSET(H90,-1,0)))</f>
        <v>0</v>
      </c>
      <c r="I90" s="577">
        <f ca="1">IF(AND($C90&lt;=4,$C90&lt;&gt;0),0,IF(AND($C90="S",$X90&gt;0),OFFSET(I90,-1,0)+1,OFFSET(I90,-1,0)))</f>
        <v>2</v>
      </c>
      <c r="J90" s="577">
        <f ca="1">IF(OR($C90="S",$C90=0),0,MATCH(0,OFFSET($D90,1,$C90,ROW($C$119)-ROW($C90)),0))</f>
        <v>0</v>
      </c>
      <c r="K90" s="577">
        <f ca="1">IF(OR($C90="S",$C90=0),0,MATCH(OFFSET($D90,0,$C90)+IF($C90&lt;&gt;1,1,COUNTIF(QCI!$A$13:$A$24,ORÇAMENTO!E90)),OFFSET($D90,1,$C90,ROW($C$119)-ROW($C90)),0))</f>
        <v>0</v>
      </c>
      <c r="L90" s="116" t="str">
        <f ca="1">IF(OR($X90&gt;0,$C90=1,$C90=2,$C90=3,$C90=4),"F","")</f>
        <v>F</v>
      </c>
      <c r="M90" s="117" t="s">
        <v>199</v>
      </c>
      <c r="N90" s="118" t="str">
        <f ca="1">CHOOSE(1+LOG(1+2*(C90=1)+4*(C90=2)+8*(C90=3)+16*(C90=4)+32*(C90="S"),2),"","Meta","Nível 2","Nível 3","Nível 4","Serviço")</f>
        <v>Serviço</v>
      </c>
      <c r="O90" s="119" t="str">
        <f ca="1">IF(OR($C90=0,$L90=""),"-",CONCATENATE(E90&amp;".",IF(AND($A$5&gt;=2,$C90&gt;=2),F90&amp;".",""),IF(AND($A$5&gt;=3,$C90&gt;=3),G90&amp;".",""),IF(AND($A$5&gt;=4,$C90&gt;=4),H90&amp;".",""),IF($C90="S",I90&amp;".","")))</f>
        <v>3.1.2.</v>
      </c>
      <c r="P90" s="120" t="s">
        <v>474</v>
      </c>
      <c r="Q90" s="121" t="s">
        <v>476</v>
      </c>
      <c r="R90" s="122" t="str">
        <f ca="1">IF($C90="S",REFERENCIA.Descricao,"(digite a descrição aqui)")</f>
        <v>Suporte para placa de sinalização em madeira de lei tratada 8 x 8 cm - fornecimento e implantação</v>
      </c>
      <c r="S90" s="123" t="str">
        <f ca="1">REFERENCIA.Unidade</f>
        <v>un</v>
      </c>
      <c r="T90" s="124">
        <f ca="1">OFFSET(CÁLCULO!H$15,ROW($T90)-ROW(T$15),0)</f>
        <v>1</v>
      </c>
      <c r="U90" s="125">
        <f t="shared" ca="1" si="17"/>
        <v>135.99</v>
      </c>
      <c r="V90" s="126" t="s">
        <v>156</v>
      </c>
      <c r="W90" s="124">
        <f ca="1">IF($C90="S",ROUND(IF(TIPOORCAMENTO="Proposto",ORÇAMENTO.CustoUnitario*(1+$AH90),ORÇAMENTO.PrecoUnitarioLicitado),15-13*$AF$10),0)</f>
        <v>167.78</v>
      </c>
      <c r="X90" s="127">
        <f ca="1">IF($C90="S",IF(Import.TipoArredondamento&lt;&gt;"TransfereGOV",VTOTAL1,SUM(OFFSET(CÁLCULO!$AA$15,ROW($X90)-ROW($X$15),1):OFFSET(CÁLCULO!$AL$15,ROW($X90)-ROW($X$15),-1))),IF($C90=0,0,ROUND(SomaAgrup,15-13*$AF$11)))</f>
        <v>167.78</v>
      </c>
      <c r="Y90" s="128" t="s">
        <v>245</v>
      </c>
      <c r="Z90" s="577" t="str">
        <f ca="1">IF(AND($C90="S",$X90&gt;0),IF(ISBLANK($Y90),"RA",LEFT($Y90,2)),"")</f>
        <v>RA</v>
      </c>
      <c r="AA90" s="129">
        <f ca="1">IF($C90="S",IF($Z90="CP",$X90,IF($Z90="RA",(($X90)*QCI!$AA$3),0)),SomaAgrup)</f>
        <v>167.78</v>
      </c>
      <c r="AB90" s="130">
        <f ca="1">IF($C90="S",IF($Z90="OU",ROUND($X90,2),0),SomaAgrup)</f>
        <v>0</v>
      </c>
      <c r="AC90" s="131" t="str">
        <f ca="1">IF($N90="","",IF(ORÇAMENTO.Descricao="","DESCRIÇÃO",IF(AND($C90="S",ORÇAMENTO.Unidade=""),"UNIDADE",IF($X90&lt;0,"VALOR NEGATIVO",IF(OR(AND(TIPOORCAMENTO="Proposto",$AG90&lt;&gt;"",$AG90&gt;0,ORÇAMENTO.CustoUnitario&gt;$AG90),AND(TIPOORCAMENTO="LICITADO",ORÇAMENTO.PrecoUnitarioLicitado&gt;$AN90)),"ACIMA REF.","")))))</f>
        <v/>
      </c>
      <c r="AD90" s="577" t="str">
        <f ca="1">IF(C90&lt;=CRONO.NivelExibicao,MAX($AD$15:OFFSET(AD90,-1,0))+IF($C90&lt;&gt;1,1,MAX(1,COUNTIF(QCI!$A$13:$A$24,OFFSET($E90,-1,0)))),"")</f>
        <v/>
      </c>
      <c r="AE90" s="7" t="str">
        <f ca="1">IF(AND($C90="S",ORÇAMENTO.CodBarra&lt;&gt;""),IF(ORÇAMENTO.Fonte="",ORÇAMENTO.CodBarra,CONCATENATE(ORÇAMENTO.Fonte," ",ORÇAMENTO.CodBarra)))</f>
        <v>SICRO 5216111</v>
      </c>
      <c r="AF90" s="576">
        <f ca="1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21212</v>
      </c>
      <c r="AG90" s="498">
        <f ca="1">ROUND(IF(DESONERACAO="sim",REFERENCIA.Desonerado,REFERENCIA.NaoDesonerado),2)</f>
        <v>135.99</v>
      </c>
      <c r="AH90" s="499">
        <f ca="1">ROUND(IF(ISNUMBER(ORÇAMENTO.OpcaoBDI),ORÇAMENTO.OpcaoBDI,IF(LEFT(ORÇAMENTO.OpcaoBDI,3)="BDI",HLOOKUP(ORÇAMENTO.OpcaoBDI,$F$4:$H$5,2,FALSE),0)),15-11*$AF$9)</f>
        <v>0.23380000000000001</v>
      </c>
      <c r="AJ90" s="501">
        <v>1</v>
      </c>
      <c r="AL90" s="527"/>
      <c r="AM90" s="381">
        <f t="shared" ca="1" si="0"/>
        <v>167.78</v>
      </c>
      <c r="AN90" s="566">
        <f ca="1">ROUND(ORÇAMENTO.CustoUnitario*(1+$AH90),2)</f>
        <v>167.78</v>
      </c>
    </row>
    <row r="91" spans="1:40" s="577" customFormat="1" x14ac:dyDescent="0.2">
      <c r="A91" s="577" t="str">
        <f>CHOOSE(1+LOG(1+2*(ORÇAMENTO.Nivel="Meta")+4*(ORÇAMENTO.Nivel="Nível 2")+8*(ORÇAMENTO.Nivel="Nível 3")+16*(ORÇAMENTO.Nivel="Nível 4")+32*(ORÇAMENTO.Nivel="Serviço"),2),0,1,2,3,4,"S")</f>
        <v>S</v>
      </c>
      <c r="B91" s="577">
        <f ca="1">IF(OR(C91="s",C91=0),OFFSET(B91,-1,0),C91)</f>
        <v>2</v>
      </c>
      <c r="C91" s="577" t="str">
        <f ca="1">IF(OFFSET(C91,-1,0)="L",1,IF(OFFSET(C91,-1,0)=1,2,IF(OR(A91="s",A91=0),"S",IF(AND(OFFSET(C91,-1,0)=2,A91=4),3,IF(AND(OR(OFFSET(C91,-1,0)="s",OFFSET(C91,-1,0)=0),A91&lt;&gt;"s",A91&gt;OFFSET(B91,-1,0)),OFFSET(B91,-1,0),A91)))))</f>
        <v>S</v>
      </c>
      <c r="D91" s="577">
        <f ca="1">IF(OR(C91="S",C91=0),0,IF(ISERROR(K91),J91,SMALL(J91:K91,1)))</f>
        <v>0</v>
      </c>
      <c r="E91" s="577">
        <f ca="1">IF($C91=1,OFFSET(E91,-1,0)+MAX(1,COUNTIF(QCI!$A$13:$A$24,OFFSET(ORÇAMENTO!E91,-1,0))),OFFSET(E91,-1,0))</f>
        <v>3</v>
      </c>
      <c r="F91" s="577">
        <f ca="1">IF($C91=1,0,IF($C91=2,OFFSET(F91,-1,0)+1,OFFSET(F91,-1,0)))</f>
        <v>1</v>
      </c>
      <c r="G91" s="577">
        <f ca="1">IF(AND($C91&lt;=2,$C91&lt;&gt;0),0,IF($C91=3,OFFSET(G91,-1,0)+1,OFFSET(G91,-1,0)))</f>
        <v>0</v>
      </c>
      <c r="H91" s="577">
        <f ca="1">IF(AND($C91&lt;=3,$C91&lt;&gt;0),0,IF($C91=4,OFFSET(H91,-1,0)+1,OFFSET(H91,-1,0)))</f>
        <v>0</v>
      </c>
      <c r="I91" s="577">
        <f ca="1">IF(AND($C91&lt;=4,$C91&lt;&gt;0),0,IF(AND($C91="S",$X91&gt;0),OFFSET(I91,-1,0)+1,OFFSET(I91,-1,0)))</f>
        <v>3</v>
      </c>
      <c r="J91" s="577">
        <f ca="1">IF(OR($C91="S",$C91=0),0,MATCH(0,OFFSET($D91,1,$C91,ROW($C$119)-ROW($C91)),0))</f>
        <v>0</v>
      </c>
      <c r="K91" s="577">
        <f ca="1">IF(OR($C91="S",$C91=0),0,MATCH(OFFSET($D91,0,$C91)+IF($C91&lt;&gt;1,1,COUNTIF(QCI!$A$13:$A$24,ORÇAMENTO!E91)),OFFSET($D91,1,$C91,ROW($C$119)-ROW($C91)),0))</f>
        <v>0</v>
      </c>
      <c r="L91" s="116" t="str">
        <f ca="1">IF(OR($X91&gt;0,$C91=1,$C91=2,$C91=3,$C91=4),"F","")</f>
        <v>F</v>
      </c>
      <c r="M91" s="117" t="s">
        <v>199</v>
      </c>
      <c r="N91" s="118" t="str">
        <f ca="1">CHOOSE(1+LOG(1+2*(C91=1)+4*(C91=2)+8*(C91=3)+16*(C91=4)+32*(C91="S"),2),"","Meta","Nível 2","Nível 3","Nível 4","Serviço")</f>
        <v>Serviço</v>
      </c>
      <c r="O91" s="119" t="str">
        <f ca="1">IF(OR($C91=0,$L91=""),"-",CONCATENATE(E91&amp;".",IF(AND($A$5&gt;=2,$C91&gt;=2),F91&amp;".",""),IF(AND($A$5&gt;=3,$C91&gt;=3),G91&amp;".",""),IF(AND($A$5&gt;=4,$C91&gt;=4),H91&amp;".",""),IF($C91="S",I91&amp;".","")))</f>
        <v>3.1.3.</v>
      </c>
      <c r="P91" s="120" t="s">
        <v>450</v>
      </c>
      <c r="Q91" s="121" t="s">
        <v>496</v>
      </c>
      <c r="R91" s="122" t="str">
        <f ca="1">IF($C91="S",REFERENCIA.Descricao,"(digite a descrição aqui)")</f>
        <v xml:space="preserve">MOBILIZAÇÃO E DESMOBILIZAÇÃO </v>
      </c>
      <c r="S91" s="123" t="str">
        <f ca="1">REFERENCIA.Unidade</f>
        <v>UNID.</v>
      </c>
      <c r="T91" s="124">
        <f ca="1">OFFSET(CÁLCULO!H$15,ROW($T91)-ROW(T$15),0)</f>
        <v>1</v>
      </c>
      <c r="U91" s="125">
        <f t="shared" ca="1" si="17"/>
        <v>4489.8</v>
      </c>
      <c r="V91" s="126" t="s">
        <v>156</v>
      </c>
      <c r="W91" s="124">
        <f ca="1">IF($C91="S",ROUND(IF(TIPOORCAMENTO="Proposto",ORÇAMENTO.CustoUnitario*(1+$AH91),ORÇAMENTO.PrecoUnitarioLicitado),15-13*$AF$10),0)</f>
        <v>5539.52</v>
      </c>
      <c r="X91" s="127">
        <f ca="1">IF($C91="S",IF(Import.TipoArredondamento&lt;&gt;"TransfereGOV",VTOTAL1,SUM(OFFSET(CÁLCULO!$AA$15,ROW($X91)-ROW($X$15),1):OFFSET(CÁLCULO!$AL$15,ROW($X91)-ROW($X$15),-1))),IF($C91=0,0,ROUND(SomaAgrup,15-13*$AF$11)))</f>
        <v>5539.52</v>
      </c>
      <c r="Y91" s="128" t="s">
        <v>245</v>
      </c>
      <c r="Z91" s="577" t="str">
        <f ca="1">IF(AND($C91="S",$X91&gt;0),IF(ISBLANK($Y91),"RA",LEFT($Y91,2)),"")</f>
        <v>RA</v>
      </c>
      <c r="AA91" s="129">
        <f ca="1">IF($C91="S",IF($Z91="CP",$X91,IF($Z91="RA",(($X91)*QCI!$AA$3),0)),SomaAgrup)</f>
        <v>5539.52</v>
      </c>
      <c r="AB91" s="130">
        <f ca="1">IF($C91="S",IF($Z91="OU",ROUND($X91,2),0),SomaAgrup)</f>
        <v>0</v>
      </c>
      <c r="AC91" s="131" t="str">
        <f ca="1">IF($N91="","",IF(ORÇAMENTO.Descricao="","DESCRIÇÃO",IF(AND($C91="S",ORÇAMENTO.Unidade=""),"UNIDADE",IF($X91&lt;0,"VALOR NEGATIVO",IF(OR(AND(TIPOORCAMENTO="Proposto",$AG91&lt;&gt;"",$AG91&gt;0,ORÇAMENTO.CustoUnitario&gt;$AG91),AND(TIPOORCAMENTO="LICITADO",ORÇAMENTO.PrecoUnitarioLicitado&gt;$AN91)),"ACIMA REF.","")))))</f>
        <v/>
      </c>
      <c r="AD91" s="577" t="str">
        <f ca="1">IF(C91&lt;=CRONO.NivelExibicao,MAX($AD$15:OFFSET(AD91,-1,0))+IF($C91&lt;&gt;1,1,MAX(1,COUNTIF(QCI!$A$13:$A$24,OFFSET($E91,-1,0)))),"")</f>
        <v/>
      </c>
      <c r="AE91" s="7" t="str">
        <f ca="1">IF(AND($C91="S",ORÇAMENTO.CodBarra&lt;&gt;""),IF(ORÇAMENTO.Fonte="",ORÇAMENTO.CodBarra,CONCATENATE(ORÇAMENTO.Fonte," ",ORÇAMENTO.CodBarra)))</f>
        <v>Composição 5</v>
      </c>
      <c r="AF91" s="576">
        <f ca="1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7</v>
      </c>
      <c r="AG91" s="498">
        <f ca="1">ROUND(IF(DESONERACAO="sim",REFERENCIA.Desonerado,REFERENCIA.NaoDesonerado),2)</f>
        <v>4489.8</v>
      </c>
      <c r="AH91" s="499">
        <f ca="1">ROUND(IF(ISNUMBER(ORÇAMENTO.OpcaoBDI),ORÇAMENTO.OpcaoBDI,IF(LEFT(ORÇAMENTO.OpcaoBDI,3)="BDI",HLOOKUP(ORÇAMENTO.OpcaoBDI,$F$4:$H$5,2,FALSE),0)),15-11*$AF$9)</f>
        <v>0.23380000000000001</v>
      </c>
      <c r="AJ91" s="501">
        <v>1</v>
      </c>
      <c r="AL91" s="527"/>
      <c r="AM91" s="381">
        <f t="shared" ca="1" si="0"/>
        <v>5539.52</v>
      </c>
      <c r="AN91" s="566">
        <f ca="1">ROUND(ORÇAMENTO.CustoUnitario*(1+$AH91),2)</f>
        <v>5539.52</v>
      </c>
    </row>
    <row r="92" spans="1:40" x14ac:dyDescent="0.2">
      <c r="A92">
        <f t="shared" si="1"/>
        <v>2</v>
      </c>
      <c r="B92">
        <f t="shared" ca="1" si="2"/>
        <v>2</v>
      </c>
      <c r="C92">
        <f t="shared" ca="1" si="3"/>
        <v>2</v>
      </c>
      <c r="D92">
        <f t="shared" ca="1" si="4"/>
        <v>4</v>
      </c>
      <c r="E92">
        <f ca="1">IF($C92=1,OFFSET(E92,-1,0)+MAX(1,COUNTIF(QCI!$A$13:$A$24,OFFSET(ORÇAMENTO!E92,-1,0))),OFFSET(E92,-1,0))</f>
        <v>3</v>
      </c>
      <c r="F92">
        <f t="shared" ca="1" si="5"/>
        <v>2</v>
      </c>
      <c r="G92">
        <f t="shared" ca="1" si="6"/>
        <v>0</v>
      </c>
      <c r="H92">
        <f t="shared" ca="1" si="7"/>
        <v>0</v>
      </c>
      <c r="I92">
        <f t="shared" ca="1" si="8"/>
        <v>0</v>
      </c>
      <c r="J92">
        <f ca="1">IF(OR($C92="S",$C92=0),0,MATCH(0,OFFSET($D92,1,$C92,ROW($C$119)-ROW($C92)),0))</f>
        <v>27</v>
      </c>
      <c r="K92">
        <f ca="1">IF(OR($C92="S",$C92=0),0,MATCH(OFFSET($D92,0,$C92)+IF($C92&lt;&gt;1,1,COUNTIF(QCI!$A$13:$A$24,ORÇAMENTO!E92)),OFFSET($D92,1,$C92,ROW($C$119)-ROW($C92)),0))</f>
        <v>4</v>
      </c>
      <c r="L92" s="116" t="str">
        <f t="shared" ca="1" si="9"/>
        <v>F</v>
      </c>
      <c r="M92" s="117" t="s">
        <v>196</v>
      </c>
      <c r="N92" s="118" t="str">
        <f t="shared" ca="1" si="10"/>
        <v>Nível 2</v>
      </c>
      <c r="O92" s="119" t="str">
        <f t="shared" ca="1" si="11"/>
        <v>3.2.</v>
      </c>
      <c r="P92" s="120" t="s">
        <v>247</v>
      </c>
      <c r="Q92" s="121"/>
      <c r="R92" s="122" t="s">
        <v>463</v>
      </c>
      <c r="S92" s="123" t="str">
        <f ca="1">REFERENCIA.Unidade</f>
        <v>-</v>
      </c>
      <c r="T92" s="124">
        <f ca="1">OFFSET(CÁLCULO!H$15,ROW($T92)-ROW(T$15),0)</f>
        <v>0</v>
      </c>
      <c r="U92" s="125">
        <f t="shared" ca="1" si="17"/>
        <v>0</v>
      </c>
      <c r="V92" s="126" t="s">
        <v>156</v>
      </c>
      <c r="W92" s="124">
        <f ca="1">IF($C92="S",ROUND(IF(TIPOORCAMENTO="Proposto",ORÇAMENTO.CustoUnitario*(1+$AH92),ORÇAMENTO.PrecoUnitarioLicitado),15-13*$AF$10),0)</f>
        <v>0</v>
      </c>
      <c r="X92" s="127">
        <f ca="1">IF($C92="S",IF(Import.TipoArredondamento&lt;&gt;"TransfereGOV",VTOTAL1,SUM(OFFSET(CÁLCULO!$AA$15,ROW($X92)-ROW($X$15),1):OFFSET(CÁLCULO!$AL$15,ROW($X92)-ROW($X$15),-1))),IF($C92=0,0,ROUND(SomaAgrup,15-13*$AF$11)))</f>
        <v>7454.1</v>
      </c>
      <c r="Y92" s="128" t="s">
        <v>245</v>
      </c>
      <c r="Z92" t="str">
        <f t="shared" ca="1" si="12"/>
        <v/>
      </c>
      <c r="AA92" s="129">
        <f ca="1">IF($C92="S",IF($Z92="CP",$X92,IF($Z92="RA",(($X92)*QCI!$AA$3),0)),SomaAgrup)</f>
        <v>7454.1</v>
      </c>
      <c r="AB92" s="130">
        <f t="shared" ca="1" si="13"/>
        <v>0</v>
      </c>
      <c r="AC92" s="131" t="str">
        <f ca="1">IF($N92="","",IF(ORÇAMENTO.Descricao="","DESCRIÇÃO",IF(AND($C92="S",ORÇAMENTO.Unidade=""),"UNIDADE",IF($X92&lt;0,"VALOR NEGATIVO",IF(OR(AND(TIPOORCAMENTO="Proposto",$AG92&lt;&gt;"",$AG92&gt;0,ORÇAMENTO.CustoUnitario&gt;$AG92),AND(TIPOORCAMENTO="LICITADO",ORÇAMENTO.PrecoUnitarioLicitado&gt;$AN92)),"ACIMA REF.","")))))</f>
        <v/>
      </c>
      <c r="AD92">
        <f ca="1">IF(C92&lt;=CRONO.NivelExibicao,MAX($AD$15:OFFSET(AD92,-1,0))+IF($C92&lt;&gt;1,1,MAX(1,COUNTIF(QCI!$A$13:$A$24,OFFSET($E92,-1,0)))),"")</f>
        <v>15</v>
      </c>
      <c r="AE92" s="7" t="b">
        <f ca="1">IF(AND($C92="S",ORÇAMENTO.CodBarra&lt;&gt;""),IF(ORÇAMENTO.Fonte="",ORÇAMENTO.CodBarra,CONCATENATE(ORÇAMENTO.Fonte," ",ORÇAMENTO.CodBarra)))</f>
        <v>0</v>
      </c>
      <c r="AF92" s="13" t="str">
        <f ca="1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(Sem Código)</v>
      </c>
      <c r="AG92" s="498">
        <f ca="1">ROUND(IF(DESONERACAO="sim",REFERENCIA.Desonerado,REFERENCIA.NaoDesonerado),2)</f>
        <v>0</v>
      </c>
      <c r="AH92" s="499">
        <f t="shared" ca="1" si="14"/>
        <v>0.23380000000000001</v>
      </c>
      <c r="AJ92" s="501"/>
      <c r="AL92" s="527"/>
      <c r="AM92" s="381">
        <f t="shared" ca="1" si="0"/>
        <v>7454.1</v>
      </c>
      <c r="AN92" s="566">
        <f t="shared" ca="1" si="15"/>
        <v>0</v>
      </c>
    </row>
    <row r="93" spans="1:40" x14ac:dyDescent="0.2">
      <c r="A93" t="str">
        <f t="shared" si="1"/>
        <v>S</v>
      </c>
      <c r="B93">
        <f t="shared" ca="1" si="2"/>
        <v>2</v>
      </c>
      <c r="C93" t="str">
        <f t="shared" ca="1" si="3"/>
        <v>S</v>
      </c>
      <c r="D93">
        <f t="shared" ca="1" si="4"/>
        <v>0</v>
      </c>
      <c r="E93">
        <f ca="1">IF($C93=1,OFFSET(E93,-1,0)+MAX(1,COUNTIF(QCI!$A$13:$A$24,OFFSET(ORÇAMENTO!E93,-1,0))),OFFSET(E93,-1,0))</f>
        <v>3</v>
      </c>
      <c r="F93">
        <f t="shared" ca="1" si="5"/>
        <v>2</v>
      </c>
      <c r="G93">
        <f t="shared" ca="1" si="6"/>
        <v>0</v>
      </c>
      <c r="H93">
        <f t="shared" ca="1" si="7"/>
        <v>0</v>
      </c>
      <c r="I93">
        <f t="shared" ca="1" si="8"/>
        <v>1</v>
      </c>
      <c r="J93">
        <f ca="1">IF(OR($C93="S",$C93=0),0,MATCH(0,OFFSET($D93,1,$C93,ROW($C$119)-ROW($C93)),0))</f>
        <v>0</v>
      </c>
      <c r="K93">
        <f ca="1">IF(OR($C93="S",$C93=0),0,MATCH(OFFSET($D93,0,$C93)+IF($C93&lt;&gt;1,1,COUNTIF(QCI!$A$13:$A$24,ORÇAMENTO!E93)),OFFSET($D93,1,$C93,ROW($C$119)-ROW($C93)),0))</f>
        <v>0</v>
      </c>
      <c r="L93" s="116" t="str">
        <f t="shared" ca="1" si="9"/>
        <v>F</v>
      </c>
      <c r="M93" s="117" t="s">
        <v>199</v>
      </c>
      <c r="N93" s="118" t="str">
        <f t="shared" ca="1" si="10"/>
        <v>Serviço</v>
      </c>
      <c r="O93" s="119" t="str">
        <f t="shared" ca="1" si="11"/>
        <v>3.2.1.</v>
      </c>
      <c r="P93" s="120" t="s">
        <v>474</v>
      </c>
      <c r="Q93" s="121" t="s">
        <v>487</v>
      </c>
      <c r="R93" s="122" t="str">
        <f ca="1">IF($C93="S",REFERENCIA.Descricao,"(digite a descrição aqui)")</f>
        <v>Engenheiro</v>
      </c>
      <c r="S93" s="123" t="str">
        <f ca="1">REFERENCIA.Unidade</f>
        <v>h</v>
      </c>
      <c r="T93" s="124">
        <f ca="1">OFFSET(CÁLCULO!H$15,ROW($T93)-ROW(T$15),0)</f>
        <v>15</v>
      </c>
      <c r="U93" s="125">
        <f t="shared" ca="1" si="17"/>
        <v>161.08000000000001</v>
      </c>
      <c r="V93" s="126" t="s">
        <v>156</v>
      </c>
      <c r="W93" s="124">
        <f ca="1">IF($C93="S",ROUND(IF(TIPOORCAMENTO="Proposto",ORÇAMENTO.CustoUnitario*(1+$AH93),ORÇAMENTO.PrecoUnitarioLicitado),15-13*$AF$10),0)</f>
        <v>198.74</v>
      </c>
      <c r="X93" s="127">
        <f ca="1">IF($C93="S",IF(Import.TipoArredondamento&lt;&gt;"TransfereGOV",VTOTAL1,SUM(OFFSET(CÁLCULO!$AA$15,ROW($X93)-ROW($X$15),1):OFFSET(CÁLCULO!$AL$15,ROW($X93)-ROW($X$15),-1))),IF($C93=0,0,ROUND(SomaAgrup,15-13*$AF$11)))</f>
        <v>2981.1</v>
      </c>
      <c r="Y93" s="128" t="s">
        <v>245</v>
      </c>
      <c r="Z93" t="str">
        <f t="shared" ca="1" si="12"/>
        <v>RA</v>
      </c>
      <c r="AA93" s="129">
        <f ca="1">IF($C93="S",IF($Z93="CP",$X93,IF($Z93="RA",(($X93)*QCI!$AA$3),0)),SomaAgrup)</f>
        <v>2981.1</v>
      </c>
      <c r="AB93" s="130">
        <f t="shared" ca="1" si="13"/>
        <v>0</v>
      </c>
      <c r="AC93" s="131" t="str">
        <f ca="1">IF($N93="","",IF(ORÇAMENTO.Descricao="","DESCRIÇÃO",IF(AND($C93="S",ORÇAMENTO.Unidade=""),"UNIDADE",IF($X93&lt;0,"VALOR NEGATIVO",IF(OR(AND(TIPOORCAMENTO="Proposto",$AG93&lt;&gt;"",$AG93&gt;0,ORÇAMENTO.CustoUnitario&gt;$AG93),AND(TIPOORCAMENTO="LICITADO",ORÇAMENTO.PrecoUnitarioLicitado&gt;$AN93)),"ACIMA REF.","")))))</f>
        <v/>
      </c>
      <c r="AD93" t="str">
        <f ca="1">IF(C93&lt;=CRONO.NivelExibicao,MAX($AD$15:OFFSET(AD93,-1,0))+IF($C93&lt;&gt;1,1,MAX(1,COUNTIF(QCI!$A$13:$A$24,OFFSET($E93,-1,0)))),"")</f>
        <v/>
      </c>
      <c r="AE93" s="7" t="str">
        <f ca="1">IF(AND($C93="S",ORÇAMENTO.CodBarra&lt;&gt;""),IF(ORÇAMENTO.Fonte="",ORÇAMENTO.CodBarra,CONCATENATE(ORÇAMENTO.Fonte," ",ORÇAMENTO.CodBarra)))</f>
        <v>SICRO P9888</v>
      </c>
      <c r="AF93" s="13">
        <f ca="1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22477</v>
      </c>
      <c r="AG93" s="498">
        <f ca="1">ROUND(IF(DESONERACAO="sim",REFERENCIA.Desonerado,REFERENCIA.NaoDesonerado),2)</f>
        <v>161.08000000000001</v>
      </c>
      <c r="AH93" s="499">
        <f t="shared" ca="1" si="14"/>
        <v>0.23380000000000001</v>
      </c>
      <c r="AJ93" s="501">
        <v>15</v>
      </c>
      <c r="AL93" s="527"/>
      <c r="AM93" s="381">
        <f t="shared" ca="1" si="0"/>
        <v>2981.1</v>
      </c>
      <c r="AN93" s="566">
        <f t="shared" ca="1" si="15"/>
        <v>198.74</v>
      </c>
    </row>
    <row r="94" spans="1:40" s="577" customFormat="1" x14ac:dyDescent="0.2">
      <c r="A94" s="577" t="str">
        <f t="shared" si="1"/>
        <v>S</v>
      </c>
      <c r="B94" s="577">
        <f t="shared" ca="1" si="2"/>
        <v>2</v>
      </c>
      <c r="C94" s="577" t="str">
        <f t="shared" ca="1" si="3"/>
        <v>S</v>
      </c>
      <c r="D94" s="577">
        <f t="shared" ca="1" si="4"/>
        <v>0</v>
      </c>
      <c r="E94" s="577">
        <f ca="1">IF($C94=1,OFFSET(E94,-1,0)+MAX(1,COUNTIF(QCI!$A$13:$A$24,OFFSET(ORÇAMENTO!E94,-1,0))),OFFSET(E94,-1,0))</f>
        <v>3</v>
      </c>
      <c r="F94" s="577">
        <f t="shared" ca="1" si="5"/>
        <v>2</v>
      </c>
      <c r="G94" s="577">
        <f t="shared" ca="1" si="6"/>
        <v>0</v>
      </c>
      <c r="H94" s="577">
        <f t="shared" ca="1" si="7"/>
        <v>0</v>
      </c>
      <c r="I94" s="577">
        <f t="shared" ca="1" si="8"/>
        <v>2</v>
      </c>
      <c r="J94" s="577">
        <f ca="1">IF(OR($C94="S",$C94=0),0,MATCH(0,OFFSET($D94,1,$C94,ROW($C$119)-ROW($C94)),0))</f>
        <v>0</v>
      </c>
      <c r="K94" s="577">
        <f ca="1">IF(OR($C94="S",$C94=0),0,MATCH(OFFSET($D94,0,$C94)+IF($C94&lt;&gt;1,1,COUNTIF(QCI!$A$13:$A$24,ORÇAMENTO!E94)),OFFSET($D94,1,$C94,ROW($C$119)-ROW($C94)),0))</f>
        <v>0</v>
      </c>
      <c r="L94" s="116" t="str">
        <f t="shared" ca="1" si="9"/>
        <v>F</v>
      </c>
      <c r="M94" s="117" t="s">
        <v>199</v>
      </c>
      <c r="N94" s="118" t="str">
        <f t="shared" ca="1" si="10"/>
        <v>Serviço</v>
      </c>
      <c r="O94" s="119" t="str">
        <f t="shared" ca="1" si="11"/>
        <v>3.2.2.</v>
      </c>
      <c r="P94" s="120" t="s">
        <v>474</v>
      </c>
      <c r="Q94" s="121" t="s">
        <v>499</v>
      </c>
      <c r="R94" s="122" t="str">
        <f ca="1">IF($C94="S",REFERENCIA.Descricao,"(digite a descrição aqui)")</f>
        <v>Encarregado de pavimentação</v>
      </c>
      <c r="S94" s="123" t="str">
        <f ca="1">REFERENCIA.Unidade</f>
        <v>h</v>
      </c>
      <c r="T94" s="124">
        <f ca="1">OFFSET(CÁLCULO!H$15,ROW($T94)-ROW(T$15),0)</f>
        <v>60</v>
      </c>
      <c r="U94" s="125">
        <f t="shared" ca="1" si="17"/>
        <v>46.37</v>
      </c>
      <c r="V94" s="126" t="s">
        <v>156</v>
      </c>
      <c r="W94" s="124">
        <f ca="1">IF($C94="S",ROUND(IF(TIPOORCAMENTO="Proposto",ORÇAMENTO.CustoUnitario*(1+$AH94),ORÇAMENTO.PrecoUnitarioLicitado),15-13*$AF$10),0)</f>
        <v>57.21</v>
      </c>
      <c r="X94" s="127">
        <f ca="1">IF($C94="S",IF(Import.TipoArredondamento&lt;&gt;"TransfereGOV",VTOTAL1,SUM(OFFSET(CÁLCULO!$AA$15,ROW($X94)-ROW($X$15),1):OFFSET(CÁLCULO!$AL$15,ROW($X94)-ROW($X$15),-1))),IF($C94=0,0,ROUND(SomaAgrup,15-13*$AF$11)))</f>
        <v>3432.6</v>
      </c>
      <c r="Y94" s="128" t="s">
        <v>245</v>
      </c>
      <c r="Z94" s="577" t="str">
        <f t="shared" ca="1" si="12"/>
        <v>RA</v>
      </c>
      <c r="AA94" s="129">
        <f ca="1">IF($C94="S",IF($Z94="CP",$X94,IF($Z94="RA",(($X94)*QCI!$AA$3),0)),SomaAgrup)</f>
        <v>3432.6</v>
      </c>
      <c r="AB94" s="130">
        <f t="shared" ca="1" si="13"/>
        <v>0</v>
      </c>
      <c r="AC94" s="131" t="str">
        <f ca="1">IF($N94="","",IF(ORÇAMENTO.Descricao="","DESCRIÇÃO",IF(AND($C94="S",ORÇAMENTO.Unidade=""),"UNIDADE",IF($X94&lt;0,"VALOR NEGATIVO",IF(OR(AND(TIPOORCAMENTO="Proposto",$AG94&lt;&gt;"",$AG94&gt;0,ORÇAMENTO.CustoUnitario&gt;$AG94),AND(TIPOORCAMENTO="LICITADO",ORÇAMENTO.PrecoUnitarioLicitado&gt;$AN94)),"ACIMA REF.","")))))</f>
        <v/>
      </c>
      <c r="AD94" s="577" t="str">
        <f ca="1">IF(C94&lt;=CRONO.NivelExibicao,MAX($AD$15:OFFSET(AD94,-1,0))+IF($C94&lt;&gt;1,1,MAX(1,COUNTIF(QCI!$A$13:$A$24,OFFSET($E94,-1,0)))),"")</f>
        <v/>
      </c>
      <c r="AE94" s="7" t="str">
        <f ca="1">IF(AND($C94="S",ORÇAMENTO.CodBarra&lt;&gt;""),IF(ORÇAMENTO.Fonte="",ORÇAMENTO.CodBarra,CONCATENATE(ORÇAMENTO.Fonte," ",ORÇAMENTO.CodBarra)))</f>
        <v>SICRO P9874</v>
      </c>
      <c r="AF94" s="576">
        <f ca="1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22464</v>
      </c>
      <c r="AG94" s="498">
        <f ca="1">ROUND(IF(DESONERACAO="sim",REFERENCIA.Desonerado,REFERENCIA.NaoDesonerado),2)</f>
        <v>46.37</v>
      </c>
      <c r="AH94" s="499">
        <f t="shared" ca="1" si="14"/>
        <v>0.23380000000000001</v>
      </c>
      <c r="AJ94" s="501">
        <v>60</v>
      </c>
      <c r="AL94" s="527"/>
      <c r="AM94" s="381">
        <f t="shared" ca="1" si="0"/>
        <v>3432.6</v>
      </c>
      <c r="AN94" s="566">
        <f t="shared" ca="1" si="15"/>
        <v>57.21</v>
      </c>
    </row>
    <row r="95" spans="1:40" x14ac:dyDescent="0.2">
      <c r="A95" t="str">
        <f t="shared" si="1"/>
        <v>S</v>
      </c>
      <c r="B95">
        <f t="shared" ca="1" si="2"/>
        <v>2</v>
      </c>
      <c r="C95" t="str">
        <f t="shared" ca="1" si="3"/>
        <v>S</v>
      </c>
      <c r="D95">
        <f t="shared" ca="1" si="4"/>
        <v>0</v>
      </c>
      <c r="E95">
        <f ca="1">IF($C95=1,OFFSET(E95,-1,0)+MAX(1,COUNTIF(QCI!$A$13:$A$24,OFFSET(ORÇAMENTO!E95,-1,0))),OFFSET(E95,-1,0))</f>
        <v>3</v>
      </c>
      <c r="F95">
        <f t="shared" ca="1" si="5"/>
        <v>2</v>
      </c>
      <c r="G95">
        <f t="shared" ca="1" si="6"/>
        <v>0</v>
      </c>
      <c r="H95">
        <f t="shared" ca="1" si="7"/>
        <v>0</v>
      </c>
      <c r="I95">
        <f t="shared" ca="1" si="8"/>
        <v>3</v>
      </c>
      <c r="J95">
        <f ca="1">IF(OR($C95="S",$C95=0),0,MATCH(0,OFFSET($D95,1,$C95,ROW($C$119)-ROW($C95)),0))</f>
        <v>0</v>
      </c>
      <c r="K95">
        <f ca="1">IF(OR($C95="S",$C95=0),0,MATCH(OFFSET($D95,0,$C95)+IF($C95&lt;&gt;1,1,COUNTIF(QCI!$A$13:$A$24,ORÇAMENTO!E95)),OFFSET($D95,1,$C95,ROW($C$119)-ROW($C95)),0))</f>
        <v>0</v>
      </c>
      <c r="L95" s="116" t="str">
        <f t="shared" ca="1" si="9"/>
        <v>F</v>
      </c>
      <c r="M95" s="117" t="s">
        <v>199</v>
      </c>
      <c r="N95" s="118" t="str">
        <f t="shared" ca="1" si="10"/>
        <v>Serviço</v>
      </c>
      <c r="O95" s="119" t="str">
        <f t="shared" ca="1" si="11"/>
        <v>3.2.3.</v>
      </c>
      <c r="P95" s="120" t="s">
        <v>474</v>
      </c>
      <c r="Q95" s="121" t="s">
        <v>488</v>
      </c>
      <c r="R95" s="122" t="str">
        <f ca="1">IF($C95="S",REFERENCIA.Descricao,"(digite a descrição aqui)")</f>
        <v>Auxiliar de topografia</v>
      </c>
      <c r="S95" s="123" t="str">
        <f ca="1">REFERENCIA.Unidade</f>
        <v>h</v>
      </c>
      <c r="T95" s="124">
        <f ca="1">OFFSET(CÁLCULO!H$15,ROW($T95)-ROW(T$15),0)</f>
        <v>30</v>
      </c>
      <c r="U95" s="125">
        <f t="shared" ca="1" si="17"/>
        <v>28.11</v>
      </c>
      <c r="V95" s="126" t="s">
        <v>156</v>
      </c>
      <c r="W95" s="124">
        <f ca="1">IF($C95="S",ROUND(IF(TIPOORCAMENTO="Proposto",ORÇAMENTO.CustoUnitario*(1+$AH95),ORÇAMENTO.PrecoUnitarioLicitado),15-13*$AF$10),0)</f>
        <v>34.68</v>
      </c>
      <c r="X95" s="127">
        <f ca="1">IF($C95="S",IF(Import.TipoArredondamento&lt;&gt;"TransfereGOV",VTOTAL1,SUM(OFFSET(CÁLCULO!$AA$15,ROW($X95)-ROW($X$15),1):OFFSET(CÁLCULO!$AL$15,ROW($X95)-ROW($X$15),-1))),IF($C95=0,0,ROUND(SomaAgrup,15-13*$AF$11)))</f>
        <v>1040.4000000000001</v>
      </c>
      <c r="Y95" s="128" t="s">
        <v>245</v>
      </c>
      <c r="Z95" t="str">
        <f t="shared" ca="1" si="12"/>
        <v>RA</v>
      </c>
      <c r="AA95" s="129">
        <f ca="1">IF($C95="S",IF($Z95="CP",$X95,IF($Z95="RA",(($X95)*QCI!$AA$3),0)),SomaAgrup)</f>
        <v>1040.4000000000001</v>
      </c>
      <c r="AB95" s="130">
        <f t="shared" ca="1" si="13"/>
        <v>0</v>
      </c>
      <c r="AC95" s="131" t="str">
        <f ca="1">IF($N95="","",IF(ORÇAMENTO.Descricao="","DESCRIÇÃO",IF(AND($C95="S",ORÇAMENTO.Unidade=""),"UNIDADE",IF($X95&lt;0,"VALOR NEGATIVO",IF(OR(AND(TIPOORCAMENTO="Proposto",$AG95&lt;&gt;"",$AG95&gt;0,ORÇAMENTO.CustoUnitario&gt;$AG95),AND(TIPOORCAMENTO="LICITADO",ORÇAMENTO.PrecoUnitarioLicitado&gt;$AN95)),"ACIMA REF.","")))))</f>
        <v/>
      </c>
      <c r="AD95" t="str">
        <f ca="1">IF(C95&lt;=CRONO.NivelExibicao,MAX($AD$15:OFFSET(AD95,-1,0))+IF($C95&lt;&gt;1,1,MAX(1,COUNTIF(QCI!$A$13:$A$24,OFFSET($E95,-1,0)))),"")</f>
        <v/>
      </c>
      <c r="AE95" s="7" t="str">
        <f ca="1">IF(AND($C95="S",ORÇAMENTO.CodBarra&lt;&gt;""),IF(ORÇAMENTO.Fonte="",ORÇAMENTO.CodBarra,CONCATENATE(ORÇAMENTO.Fonte," ",ORÇAMENTO.CodBarra)))</f>
        <v>SICRO P9828</v>
      </c>
      <c r="AF95" s="13">
        <f ca="1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22428</v>
      </c>
      <c r="AG95" s="498">
        <f ca="1">ROUND(IF(DESONERACAO="sim",REFERENCIA.Desonerado,REFERENCIA.NaoDesonerado),2)</f>
        <v>28.11</v>
      </c>
      <c r="AH95" s="499">
        <f t="shared" ca="1" si="14"/>
        <v>0.23380000000000001</v>
      </c>
      <c r="AJ95" s="501">
        <v>30</v>
      </c>
      <c r="AL95" s="527"/>
      <c r="AM95" s="381">
        <f t="shared" ca="1" si="0"/>
        <v>1040.4000000000001</v>
      </c>
      <c r="AN95" s="566">
        <f t="shared" ca="1" si="15"/>
        <v>34.68</v>
      </c>
    </row>
    <row r="96" spans="1:40" x14ac:dyDescent="0.2">
      <c r="A96">
        <f t="shared" si="1"/>
        <v>2</v>
      </c>
      <c r="B96">
        <f t="shared" ca="1" si="2"/>
        <v>2</v>
      </c>
      <c r="C96">
        <f t="shared" ca="1" si="3"/>
        <v>2</v>
      </c>
      <c r="D96">
        <f t="shared" ca="1" si="4"/>
        <v>8</v>
      </c>
      <c r="E96">
        <f ca="1">IF($C96=1,OFFSET(E96,-1,0)+MAX(1,COUNTIF(QCI!$A$13:$A$24,OFFSET(ORÇAMENTO!E96,-1,0))),OFFSET(E96,-1,0))</f>
        <v>3</v>
      </c>
      <c r="F96">
        <f t="shared" ca="1" si="5"/>
        <v>3</v>
      </c>
      <c r="G96">
        <f t="shared" ca="1" si="6"/>
        <v>0</v>
      </c>
      <c r="H96">
        <f t="shared" ca="1" si="7"/>
        <v>0</v>
      </c>
      <c r="I96">
        <f t="shared" ca="1" si="8"/>
        <v>0</v>
      </c>
      <c r="J96">
        <f ca="1">IF(OR($C96="S",$C96=0),0,MATCH(0,OFFSET($D96,1,$C96,ROW($C$119)-ROW($C96)),0))</f>
        <v>23</v>
      </c>
      <c r="K96">
        <f ca="1">IF(OR($C96="S",$C96=0),0,MATCH(OFFSET($D96,0,$C96)+IF($C96&lt;&gt;1,1,COUNTIF(QCI!$A$13:$A$24,ORÇAMENTO!E96)),OFFSET($D96,1,$C96,ROW($C$119)-ROW($C96)),0))</f>
        <v>8</v>
      </c>
      <c r="L96" s="116" t="str">
        <f t="shared" ca="1" si="9"/>
        <v>F</v>
      </c>
      <c r="M96" s="117" t="s">
        <v>196</v>
      </c>
      <c r="N96" s="118" t="str">
        <f t="shared" ca="1" si="10"/>
        <v>Nível 2</v>
      </c>
      <c r="O96" s="119" t="str">
        <f t="shared" ca="1" si="11"/>
        <v>3.3.</v>
      </c>
      <c r="P96" s="120" t="s">
        <v>247</v>
      </c>
      <c r="Q96" s="121"/>
      <c r="R96" s="122" t="s">
        <v>470</v>
      </c>
      <c r="S96" s="123" t="str">
        <f ca="1">REFERENCIA.Unidade</f>
        <v>-</v>
      </c>
      <c r="T96" s="124">
        <f ca="1">OFFSET(CÁLCULO!H$15,ROW($T96)-ROW(T$15),0)</f>
        <v>0</v>
      </c>
      <c r="U96" s="125">
        <f t="shared" ca="1" si="17"/>
        <v>0</v>
      </c>
      <c r="V96" s="126" t="s">
        <v>156</v>
      </c>
      <c r="W96" s="124">
        <f ca="1">IF($C96="S",ROUND(IF(TIPOORCAMENTO="Proposto",ORÇAMENTO.CustoUnitario*(1+$AH96),ORÇAMENTO.PrecoUnitarioLicitado),15-13*$AF$10),0)</f>
        <v>0</v>
      </c>
      <c r="X96" s="127">
        <f ca="1">IF($C96="S",IF(Import.TipoArredondamento&lt;&gt;"TransfereGOV",VTOTAL1,SUM(OFFSET(CÁLCULO!$AA$15,ROW($X96)-ROW($X$15),1):OFFSET(CÁLCULO!$AL$15,ROW($X96)-ROW($X$15),-1))),IF($C96=0,0,ROUND(SomaAgrup,15-13*$AF$11)))</f>
        <v>80780.36</v>
      </c>
      <c r="Y96" s="128" t="s">
        <v>245</v>
      </c>
      <c r="Z96" t="str">
        <f t="shared" ca="1" si="12"/>
        <v/>
      </c>
      <c r="AA96" s="129">
        <f ca="1">IF($C96="S",IF($Z96="CP",$X96,IF($Z96="RA",(($X96)*QCI!$AA$3),0)),SomaAgrup)</f>
        <v>80780.36</v>
      </c>
      <c r="AB96" s="130">
        <f t="shared" ca="1" si="13"/>
        <v>0</v>
      </c>
      <c r="AC96" s="131" t="str">
        <f ca="1">IF($N96="","",IF(ORÇAMENTO.Descricao="","DESCRIÇÃO",IF(AND($C96="S",ORÇAMENTO.Unidade=""),"UNIDADE",IF($X96&lt;0,"VALOR NEGATIVO",IF(OR(AND(TIPOORCAMENTO="Proposto",$AG96&lt;&gt;"",$AG96&gt;0,ORÇAMENTO.CustoUnitario&gt;$AG96),AND(TIPOORCAMENTO="LICITADO",ORÇAMENTO.PrecoUnitarioLicitado&gt;$AN96)),"ACIMA REF.","")))))</f>
        <v/>
      </c>
      <c r="AD96">
        <f ca="1">IF(C96&lt;=CRONO.NivelExibicao,MAX($AD$15:OFFSET(AD96,-1,0))+IF($C96&lt;&gt;1,1,MAX(1,COUNTIF(QCI!$A$13:$A$24,OFFSET($E96,-1,0)))),"")</f>
        <v>16</v>
      </c>
      <c r="AE96" s="7" t="b">
        <f ca="1">IF(AND($C96="S",ORÇAMENTO.CodBarra&lt;&gt;""),IF(ORÇAMENTO.Fonte="",ORÇAMENTO.CodBarra,CONCATENATE(ORÇAMENTO.Fonte," ",ORÇAMENTO.CodBarra)))</f>
        <v>0</v>
      </c>
      <c r="AF96" s="13" t="str">
        <f ca="1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(Sem Código)</v>
      </c>
      <c r="AG96" s="498">
        <f ca="1">ROUND(IF(DESONERACAO="sim",REFERENCIA.Desonerado,REFERENCIA.NaoDesonerado),2)</f>
        <v>0</v>
      </c>
      <c r="AH96" s="499">
        <f t="shared" ca="1" si="14"/>
        <v>0.23380000000000001</v>
      </c>
      <c r="AJ96" s="501"/>
      <c r="AL96" s="527"/>
      <c r="AM96" s="381">
        <f t="shared" ref="AM96:AM118" ca="1" si="32">$X96</f>
        <v>80780.36</v>
      </c>
      <c r="AN96" s="566">
        <f t="shared" ca="1" si="15"/>
        <v>0</v>
      </c>
    </row>
    <row r="97" spans="1:40" ht="38.25" x14ac:dyDescent="0.2">
      <c r="A97" t="str">
        <f t="shared" si="1"/>
        <v>S</v>
      </c>
      <c r="B97">
        <f t="shared" ca="1" si="2"/>
        <v>2</v>
      </c>
      <c r="C97" t="str">
        <f t="shared" ca="1" si="3"/>
        <v>S</v>
      </c>
      <c r="D97">
        <f t="shared" ca="1" si="4"/>
        <v>0</v>
      </c>
      <c r="E97">
        <f ca="1">IF($C97=1,OFFSET(E97,-1,0)+MAX(1,COUNTIF(QCI!$A$13:$A$24,OFFSET(ORÇAMENTO!E97,-1,0))),OFFSET(E97,-1,0))</f>
        <v>3</v>
      </c>
      <c r="F97">
        <f t="shared" ca="1" si="5"/>
        <v>3</v>
      </c>
      <c r="G97">
        <f t="shared" ca="1" si="6"/>
        <v>0</v>
      </c>
      <c r="H97">
        <f t="shared" ca="1" si="7"/>
        <v>0</v>
      </c>
      <c r="I97">
        <f t="shared" ca="1" si="8"/>
        <v>1</v>
      </c>
      <c r="J97">
        <f ca="1">IF(OR($C97="S",$C97=0),0,MATCH(0,OFFSET($D97,1,$C97,ROW($C$119)-ROW($C97)),0))</f>
        <v>0</v>
      </c>
      <c r="K97">
        <f ca="1">IF(OR($C97="S",$C97=0),0,MATCH(OFFSET($D97,0,$C97)+IF($C97&lt;&gt;1,1,COUNTIF(QCI!$A$13:$A$24,ORÇAMENTO!E97)),OFFSET($D97,1,$C97,ROW($C$119)-ROW($C97)),0))</f>
        <v>0</v>
      </c>
      <c r="L97" s="116" t="str">
        <f t="shared" ca="1" si="9"/>
        <v>F</v>
      </c>
      <c r="M97" s="117" t="s">
        <v>199</v>
      </c>
      <c r="N97" s="118" t="str">
        <f t="shared" ca="1" si="10"/>
        <v>Serviço</v>
      </c>
      <c r="O97" s="119" t="str">
        <f t="shared" ca="1" si="11"/>
        <v>3.3.1.</v>
      </c>
      <c r="P97" s="120" t="s">
        <v>474</v>
      </c>
      <c r="Q97" s="121" t="s">
        <v>477</v>
      </c>
      <c r="R97" s="122" t="str">
        <f ca="1">IF($C97="S",REFERENCIA.Descricao,"(digite a descrição aqui)")</f>
        <v>Escavação, carga e transporte de material de 1ª categoria - DMT de 1.000 a 1.200 m - caminho de serviço pavimentado - com escavadeira e caminhão basculante de 14 m³</v>
      </c>
      <c r="S97" s="123" t="str">
        <f ca="1">REFERENCIA.Unidade</f>
        <v>m³</v>
      </c>
      <c r="T97" s="124">
        <f ca="1">OFFSET(CÁLCULO!H$15,ROW($T97)-ROW(T$15),0)</f>
        <v>128.52000000000001</v>
      </c>
      <c r="U97" s="125">
        <f t="shared" ca="1" si="17"/>
        <v>7.82</v>
      </c>
      <c r="V97" s="126" t="s">
        <v>156</v>
      </c>
      <c r="W97" s="124">
        <f ca="1">IF($C97="S",ROUND(IF(TIPOORCAMENTO="Proposto",ORÇAMENTO.CustoUnitario*(1+$AH97),ORÇAMENTO.PrecoUnitarioLicitado),15-13*$AF$10),0)</f>
        <v>9.65</v>
      </c>
      <c r="X97" s="127">
        <f ca="1">IF($C97="S",IF(Import.TipoArredondamento&lt;&gt;"TransfereGOV",VTOTAL1,SUM(OFFSET(CÁLCULO!$AA$15,ROW($X97)-ROW($X$15),1):OFFSET(CÁLCULO!$AL$15,ROW($X97)-ROW($X$15),-1))),IF($C97=0,0,ROUND(SomaAgrup,15-13*$AF$11)))</f>
        <v>1240.22</v>
      </c>
      <c r="Y97" s="128" t="s">
        <v>245</v>
      </c>
      <c r="Z97" t="str">
        <f t="shared" ca="1" si="12"/>
        <v>RA</v>
      </c>
      <c r="AA97" s="129">
        <f ca="1">IF($C97="S",IF($Z97="CP",$X97,IF($Z97="RA",(($X97)*QCI!$AA$3),0)),SomaAgrup)</f>
        <v>1240.22</v>
      </c>
      <c r="AB97" s="130">
        <f t="shared" ca="1" si="13"/>
        <v>0</v>
      </c>
      <c r="AC97" s="131" t="str">
        <f ca="1">IF($N97="","",IF(ORÇAMENTO.Descricao="","DESCRIÇÃO",IF(AND($C97="S",ORÇAMENTO.Unidade=""),"UNIDADE",IF($X97&lt;0,"VALOR NEGATIVO",IF(OR(AND(TIPOORCAMENTO="Proposto",$AG97&lt;&gt;"",$AG97&gt;0,ORÇAMENTO.CustoUnitario&gt;$AG97),AND(TIPOORCAMENTO="LICITADO",ORÇAMENTO.PrecoUnitarioLicitado&gt;$AN97)),"ACIMA REF.","")))))</f>
        <v/>
      </c>
      <c r="AD97" t="str">
        <f ca="1">IF(C97&lt;=CRONO.NivelExibicao,MAX($AD$15:OFFSET(AD97,-1,0))+IF($C97&lt;&gt;1,1,MAX(1,COUNTIF(QCI!$A$13:$A$24,OFFSET($E97,-1,0)))),"")</f>
        <v/>
      </c>
      <c r="AE97" s="7" t="str">
        <f ca="1">IF(AND($C97="S",ORÇAMENTO.CodBarra&lt;&gt;""),IF(ORÇAMENTO.Fonte="",ORÇAMENTO.CodBarra,CONCATENATE(ORÇAMENTO.Fonte," ",ORÇAMENTO.CodBarra)))</f>
        <v>SICRO 5502166</v>
      </c>
      <c r="AF97" s="13">
        <f ca="1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21433</v>
      </c>
      <c r="AG97" s="498">
        <f ca="1">ROUND(IF(DESONERACAO="sim",REFERENCIA.Desonerado,REFERENCIA.NaoDesonerado),2)</f>
        <v>7.82</v>
      </c>
      <c r="AH97" s="499">
        <f t="shared" ca="1" si="14"/>
        <v>0.23380000000000001</v>
      </c>
      <c r="AJ97" s="501">
        <v>128.52000000000001</v>
      </c>
      <c r="AL97" s="527"/>
      <c r="AM97" s="381">
        <f t="shared" ca="1" si="32"/>
        <v>1240.22</v>
      </c>
      <c r="AN97" s="566">
        <f t="shared" ca="1" si="15"/>
        <v>9.65</v>
      </c>
    </row>
    <row r="98" spans="1:40" x14ac:dyDescent="0.2">
      <c r="A98" t="str">
        <f t="shared" ref="A98:A118" si="33">CHOOSE(1+LOG(1+2*(ORÇAMENTO.Nivel="Meta")+4*(ORÇAMENTO.Nivel="Nível 2")+8*(ORÇAMENTO.Nivel="Nível 3")+16*(ORÇAMENTO.Nivel="Nível 4")+32*(ORÇAMENTO.Nivel="Serviço"),2),0,1,2,3,4,"S")</f>
        <v>S</v>
      </c>
      <c r="B98">
        <f t="shared" ref="B98:B118" ca="1" si="34">IF(OR(C98="s",C98=0),OFFSET(B98,-1,0),C98)</f>
        <v>2</v>
      </c>
      <c r="C98" t="str">
        <f t="shared" ref="C98:C118" ca="1" si="35">IF(OFFSET(C98,-1,0)="L",1,IF(OFFSET(C98,-1,0)=1,2,IF(OR(A98="s",A98=0),"S",IF(AND(OFFSET(C98,-1,0)=2,A98=4),3,IF(AND(OR(OFFSET(C98,-1,0)="s",OFFSET(C98,-1,0)=0),A98&lt;&gt;"s",A98&gt;OFFSET(B98,-1,0)),OFFSET(B98,-1,0),A98)))))</f>
        <v>S</v>
      </c>
      <c r="D98">
        <f t="shared" ref="D98:D118" ca="1" si="36">IF(OR(C98="S",C98=0),0,IF(ISERROR(K98),J98,SMALL(J98:K98,1)))</f>
        <v>0</v>
      </c>
      <c r="E98">
        <f ca="1">IF($C98=1,OFFSET(E98,-1,0)+MAX(1,COUNTIF(QCI!$A$13:$A$24,OFFSET(ORÇAMENTO!E98,-1,0))),OFFSET(E98,-1,0))</f>
        <v>3</v>
      </c>
      <c r="F98">
        <f t="shared" ref="F98:F118" ca="1" si="37">IF($C98=1,0,IF($C98=2,OFFSET(F98,-1,0)+1,OFFSET(F98,-1,0)))</f>
        <v>3</v>
      </c>
      <c r="G98">
        <f t="shared" ref="G98:G118" ca="1" si="38">IF(AND($C98&lt;=2,$C98&lt;&gt;0),0,IF($C98=3,OFFSET(G98,-1,0)+1,OFFSET(G98,-1,0)))</f>
        <v>0</v>
      </c>
      <c r="H98">
        <f t="shared" ref="H98:H118" ca="1" si="39">IF(AND($C98&lt;=3,$C98&lt;&gt;0),0,IF($C98=4,OFFSET(H98,-1,0)+1,OFFSET(H98,-1,0)))</f>
        <v>0</v>
      </c>
      <c r="I98">
        <f t="shared" ref="I98:I118" ca="1" si="40">IF(AND($C98&lt;=4,$C98&lt;&gt;0),0,IF(AND($C98="S",$X98&gt;0),OFFSET(I98,-1,0)+1,OFFSET(I98,-1,0)))</f>
        <v>2</v>
      </c>
      <c r="J98">
        <f t="shared" ref="J98:J118" ca="1" si="41">IF(OR($C98="S",$C98=0),0,MATCH(0,OFFSET($D98,1,$C98,ROW($C$119)-ROW($C98)),0))</f>
        <v>0</v>
      </c>
      <c r="K98">
        <f ca="1">IF(OR($C98="S",$C98=0),0,MATCH(OFFSET($D98,0,$C98)+IF($C98&lt;&gt;1,1,COUNTIF(QCI!$A$13:$A$24,ORÇAMENTO!E98)),OFFSET($D98,1,$C98,ROW($C$119)-ROW($C98)),0))</f>
        <v>0</v>
      </c>
      <c r="L98" s="116" t="str">
        <f t="shared" ref="L98:L118" ca="1" si="42">IF(OR($X98&gt;0,$C98=1,$C98=2,$C98=3,$C98=4),"F","")</f>
        <v>F</v>
      </c>
      <c r="M98" s="117" t="s">
        <v>199</v>
      </c>
      <c r="N98" s="118" t="str">
        <f t="shared" ref="N98:N118" ca="1" si="43">CHOOSE(1+LOG(1+2*(C98=1)+4*(C98=2)+8*(C98=3)+16*(C98=4)+32*(C98="S"),2),"","Meta","Nível 2","Nível 3","Nível 4","Serviço")</f>
        <v>Serviço</v>
      </c>
      <c r="O98" s="119" t="str">
        <f t="shared" ref="O98:O118" ca="1" si="44">IF(OR($C98=0,$L98=""),"-",CONCATENATE(E98&amp;".",IF(AND($A$5&gt;=2,$C98&gt;=2),F98&amp;".",""),IF(AND($A$5&gt;=3,$C98&gt;=3),G98&amp;".",""),IF(AND($A$5&gt;=4,$C98&gt;=4),H98&amp;".",""),IF($C98="S",I98&amp;".","")))</f>
        <v>3.3.2.</v>
      </c>
      <c r="P98" s="120" t="s">
        <v>474</v>
      </c>
      <c r="Q98" s="121" t="s">
        <v>478</v>
      </c>
      <c r="R98" s="122" t="str">
        <f ca="1">IF($C98="S",REFERENCIA.Descricao,"(digite a descrição aqui)")</f>
        <v>Reaterro e compactação com soquete vibratório</v>
      </c>
      <c r="S98" s="123" t="str">
        <f ca="1">REFERENCIA.Unidade</f>
        <v>m³</v>
      </c>
      <c r="T98" s="124">
        <f ca="1">OFFSET(CÁLCULO!H$15,ROW($T98)-ROW(T$15),0)</f>
        <v>98.77</v>
      </c>
      <c r="U98" s="125">
        <f t="shared" ca="1" si="17"/>
        <v>20.09</v>
      </c>
      <c r="V98" s="126" t="s">
        <v>156</v>
      </c>
      <c r="W98" s="124">
        <f ca="1">IF($C98="S",ROUND(IF(TIPOORCAMENTO="Proposto",ORÇAMENTO.CustoUnitario*(1+$AH98),ORÇAMENTO.PrecoUnitarioLicitado),15-13*$AF$10),0)</f>
        <v>24.79</v>
      </c>
      <c r="X98" s="127">
        <f ca="1">IF($C98="S",IF(Import.TipoArredondamento&lt;&gt;"TransfereGOV",VTOTAL1,SUM(OFFSET(CÁLCULO!$AA$15,ROW($X98)-ROW($X$15),1):OFFSET(CÁLCULO!$AL$15,ROW($X98)-ROW($X$15),-1))),IF($C98=0,0,ROUND(SomaAgrup,15-13*$AF$11)))</f>
        <v>2448.5100000000002</v>
      </c>
      <c r="Y98" s="128" t="s">
        <v>245</v>
      </c>
      <c r="Z98" t="str">
        <f t="shared" ref="Z98:Z118" ca="1" si="45">IF(AND($C98="S",$X98&gt;0),IF(ISBLANK($Y98),"RA",LEFT($Y98,2)),"")</f>
        <v>RA</v>
      </c>
      <c r="AA98" s="129">
        <f ca="1">IF($C98="S",IF($Z98="CP",$X98,IF($Z98="RA",(($X98)*QCI!$AA$3),0)),SomaAgrup)</f>
        <v>2448.5100000000002</v>
      </c>
      <c r="AB98" s="130">
        <f t="shared" ref="AB98:AB118" ca="1" si="46">IF($C98="S",IF($Z98="OU",ROUND($X98,2),0),SomaAgrup)</f>
        <v>0</v>
      </c>
      <c r="AC98" s="131" t="str">
        <f ca="1">IF($N98="","",IF(ORÇAMENTO.Descricao="","DESCRIÇÃO",IF(AND($C98="S",ORÇAMENTO.Unidade=""),"UNIDADE",IF($X98&lt;0,"VALOR NEGATIVO",IF(OR(AND(TIPOORCAMENTO="Proposto",$AG98&lt;&gt;"",$AG98&gt;0,ORÇAMENTO.CustoUnitario&gt;$AG98),AND(TIPOORCAMENTO="LICITADO",ORÇAMENTO.PrecoUnitarioLicitado&gt;$AN98)),"ACIMA REF.","")))))</f>
        <v/>
      </c>
      <c r="AD98" t="str">
        <f ca="1">IF(C98&lt;=CRONO.NivelExibicao,MAX($AD$15:OFFSET(AD98,-1,0))+IF($C98&lt;&gt;1,1,MAX(1,COUNTIF(QCI!$A$13:$A$24,OFFSET($E98,-1,0)))),"")</f>
        <v/>
      </c>
      <c r="AE98" s="7" t="str">
        <f ca="1">IF(AND($C98="S",ORÇAMENTO.CodBarra&lt;&gt;""),IF(ORÇAMENTO.Fonte="",ORÇAMENTO.CodBarra,CONCATENATE(ORÇAMENTO.Fonte," ",ORÇAMENTO.CodBarra)))</f>
        <v>SICRO 4815671</v>
      </c>
      <c r="AF98" s="13">
        <f ca="1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20800</v>
      </c>
      <c r="AG98" s="498">
        <f ca="1">ROUND(IF(DESONERACAO="sim",REFERENCIA.Desonerado,REFERENCIA.NaoDesonerado),2)</f>
        <v>20.09</v>
      </c>
      <c r="AH98" s="499">
        <f t="shared" ref="AH98:AH118" ca="1" si="47">ROUND(IF(ISNUMBER(ORÇAMENTO.OpcaoBDI),ORÇAMENTO.OpcaoBDI,IF(LEFT(ORÇAMENTO.OpcaoBDI,3)="BDI",HLOOKUP(ORÇAMENTO.OpcaoBDI,$F$4:$H$5,2,FALSE),0)),15-11*$AF$9)</f>
        <v>0.23380000000000001</v>
      </c>
      <c r="AJ98" s="501">
        <v>98.77</v>
      </c>
      <c r="AL98" s="527"/>
      <c r="AM98" s="381">
        <f t="shared" ca="1" si="32"/>
        <v>2448.5100000000002</v>
      </c>
      <c r="AN98" s="566">
        <f t="shared" ref="AN98:AN118" ca="1" si="48">ROUND(ORÇAMENTO.CustoUnitario*(1+$AH98),2)</f>
        <v>24.79</v>
      </c>
    </row>
    <row r="99" spans="1:40" x14ac:dyDescent="0.2">
      <c r="A99" t="str">
        <f t="shared" si="33"/>
        <v>S</v>
      </c>
      <c r="B99">
        <f t="shared" ca="1" si="34"/>
        <v>2</v>
      </c>
      <c r="C99" t="str">
        <f t="shared" ca="1" si="35"/>
        <v>S</v>
      </c>
      <c r="D99">
        <f t="shared" ca="1" si="36"/>
        <v>0</v>
      </c>
      <c r="E99">
        <f ca="1">IF($C99=1,OFFSET(E99,-1,0)+MAX(1,COUNTIF(QCI!$A$13:$A$24,OFFSET(ORÇAMENTO!E99,-1,0))),OFFSET(E99,-1,0))</f>
        <v>3</v>
      </c>
      <c r="F99">
        <f t="shared" ca="1" si="37"/>
        <v>3</v>
      </c>
      <c r="G99">
        <f t="shared" ca="1" si="38"/>
        <v>0</v>
      </c>
      <c r="H99">
        <f t="shared" ca="1" si="39"/>
        <v>0</v>
      </c>
      <c r="I99">
        <f t="shared" ca="1" si="40"/>
        <v>3</v>
      </c>
      <c r="J99">
        <f t="shared" ca="1" si="41"/>
        <v>0</v>
      </c>
      <c r="K99">
        <f ca="1">IF(OR($C99="S",$C99=0),0,MATCH(OFFSET($D99,0,$C99)+IF($C99&lt;&gt;1,1,COUNTIF(QCI!$A$13:$A$24,ORÇAMENTO!E99)),OFFSET($D99,1,$C99,ROW($C$119)-ROW($C99)),0))</f>
        <v>0</v>
      </c>
      <c r="L99" s="116" t="str">
        <f t="shared" ca="1" si="42"/>
        <v>F</v>
      </c>
      <c r="M99" s="117" t="s">
        <v>199</v>
      </c>
      <c r="N99" s="118" t="str">
        <f t="shared" ca="1" si="43"/>
        <v>Serviço</v>
      </c>
      <c r="O99" s="119" t="str">
        <f t="shared" ca="1" si="44"/>
        <v>3.3.3.</v>
      </c>
      <c r="P99" s="120" t="s">
        <v>474</v>
      </c>
      <c r="Q99" s="121" t="s">
        <v>500</v>
      </c>
      <c r="R99" s="122" t="str">
        <f ca="1">IF($C99="S",REFERENCIA.Descricao,"(digite a descrição aqui)")</f>
        <v>Usinagem de brita graduada com brita comercial em usina de 300 t/h</v>
      </c>
      <c r="S99" s="123" t="str">
        <f ca="1">REFERENCIA.Unidade</f>
        <v>m³</v>
      </c>
      <c r="T99" s="124">
        <f ca="1">OFFSET(CÁLCULO!H$15,ROW($T99)-ROW(T$15),0)</f>
        <v>98.77</v>
      </c>
      <c r="U99" s="125">
        <f t="shared" ca="1" si="17"/>
        <v>218.77</v>
      </c>
      <c r="V99" s="126" t="s">
        <v>156</v>
      </c>
      <c r="W99" s="124">
        <f ca="1">IF($C99="S",ROUND(IF(TIPOORCAMENTO="Proposto",ORÇAMENTO.CustoUnitario*(1+$AH99),ORÇAMENTO.PrecoUnitarioLicitado),15-13*$AF$10),0)</f>
        <v>269.92</v>
      </c>
      <c r="X99" s="127">
        <f ca="1">IF($C99="S",IF(Import.TipoArredondamento&lt;&gt;"TransfereGOV",VTOTAL1,SUM(OFFSET(CÁLCULO!$AA$15,ROW($X99)-ROW($X$15),1):OFFSET(CÁLCULO!$AL$15,ROW($X99)-ROW($X$15),-1))),IF($C99=0,0,ROUND(SomaAgrup,15-13*$AF$11)))</f>
        <v>26660</v>
      </c>
      <c r="Y99" s="128" t="s">
        <v>245</v>
      </c>
      <c r="Z99" t="str">
        <f t="shared" ca="1" si="45"/>
        <v>RA</v>
      </c>
      <c r="AA99" s="129">
        <f ca="1">IF($C99="S",IF($Z99="CP",$X99,IF($Z99="RA",(($X99)*QCI!$AA$3),0)),SomaAgrup)</f>
        <v>26660</v>
      </c>
      <c r="AB99" s="130">
        <f t="shared" ca="1" si="46"/>
        <v>0</v>
      </c>
      <c r="AC99" s="131" t="str">
        <f ca="1">IF($N99="","",IF(ORÇAMENTO.Descricao="","DESCRIÇÃO",IF(AND($C99="S",ORÇAMENTO.Unidade=""),"UNIDADE",IF($X99&lt;0,"VALOR NEGATIVO",IF(OR(AND(TIPOORCAMENTO="Proposto",$AG99&lt;&gt;"",$AG99&gt;0,ORÇAMENTO.CustoUnitario&gt;$AG99),AND(TIPOORCAMENTO="LICITADO",ORÇAMENTO.PrecoUnitarioLicitado&gt;$AN99)),"ACIMA REF.","")))))</f>
        <v/>
      </c>
      <c r="AD99" t="str">
        <f ca="1">IF(C99&lt;=CRONO.NivelExibicao,MAX($AD$15:OFFSET(AD99,-1,0))+IF($C99&lt;&gt;1,1,MAX(1,COUNTIF(QCI!$A$13:$A$24,OFFSET($E99,-1,0)))),"")</f>
        <v/>
      </c>
      <c r="AE99" s="7" t="str">
        <f ca="1">IF(AND($C99="S",ORÇAMENTO.CodBarra&lt;&gt;""),IF(ORÇAMENTO.Fonte="",ORÇAMENTO.CodBarra,CONCATENATE(ORÇAMENTO.Fonte," ",ORÇAMENTO.CodBarra)))</f>
        <v>SICRO 6416040</v>
      </c>
      <c r="AF99" s="13">
        <f ca="1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22130</v>
      </c>
      <c r="AG99" s="498">
        <f ca="1">ROUND(IF(DESONERACAO="sim",REFERENCIA.Desonerado,REFERENCIA.NaoDesonerado),2)</f>
        <v>218.77</v>
      </c>
      <c r="AH99" s="499">
        <f t="shared" ca="1" si="47"/>
        <v>0.23380000000000001</v>
      </c>
      <c r="AJ99" s="501">
        <v>98.77</v>
      </c>
      <c r="AL99" s="527"/>
      <c r="AM99" s="381">
        <f t="shared" ca="1" si="32"/>
        <v>26660</v>
      </c>
      <c r="AN99" s="566">
        <f t="shared" ca="1" si="48"/>
        <v>269.92</v>
      </c>
    </row>
    <row r="100" spans="1:40" s="577" customFormat="1" x14ac:dyDescent="0.2">
      <c r="A100" s="577" t="str">
        <f>CHOOSE(1+LOG(1+2*(ORÇAMENTO.Nivel="Meta")+4*(ORÇAMENTO.Nivel="Nível 2")+8*(ORÇAMENTO.Nivel="Nível 3")+16*(ORÇAMENTO.Nivel="Nível 4")+32*(ORÇAMENTO.Nivel="Serviço"),2),0,1,2,3,4,"S")</f>
        <v>S</v>
      </c>
      <c r="B100" s="577">
        <f ca="1">IF(OR(C100="s",C100=0),OFFSET(B100,-1,0),C100)</f>
        <v>2</v>
      </c>
      <c r="C100" s="577" t="str">
        <f ca="1">IF(OFFSET(C100,-1,0)="L",1,IF(OFFSET(C100,-1,0)=1,2,IF(OR(A100="s",A100=0),"S",IF(AND(OFFSET(C100,-1,0)=2,A100=4),3,IF(AND(OR(OFFSET(C100,-1,0)="s",OFFSET(C100,-1,0)=0),A100&lt;&gt;"s",A100&gt;OFFSET(B100,-1,0)),OFFSET(B100,-1,0),A100)))))</f>
        <v>S</v>
      </c>
      <c r="D100" s="577">
        <f ca="1">IF(OR(C100="S",C100=0),0,IF(ISERROR(K100),J100,SMALL(J100:K100,1)))</f>
        <v>0</v>
      </c>
      <c r="E100" s="577">
        <f ca="1">IF($C100=1,OFFSET(E100,-1,0)+MAX(1,COUNTIF(QCI!$A$13:$A$24,OFFSET(ORÇAMENTO!E100,-1,0))),OFFSET(E100,-1,0))</f>
        <v>3</v>
      </c>
      <c r="F100" s="577">
        <f ca="1">IF($C100=1,0,IF($C100=2,OFFSET(F100,-1,0)+1,OFFSET(F100,-1,0)))</f>
        <v>3</v>
      </c>
      <c r="G100" s="577">
        <f ca="1">IF(AND($C100&lt;=2,$C100&lt;&gt;0),0,IF($C100=3,OFFSET(G100,-1,0)+1,OFFSET(G100,-1,0)))</f>
        <v>0</v>
      </c>
      <c r="H100" s="577">
        <f ca="1">IF(AND($C100&lt;=3,$C100&lt;&gt;0),0,IF($C100=4,OFFSET(H100,-1,0)+1,OFFSET(H100,-1,0)))</f>
        <v>0</v>
      </c>
      <c r="I100" s="577">
        <f ca="1">IF(AND($C100&lt;=4,$C100&lt;&gt;0),0,IF(AND($C100="S",$X100&gt;0),OFFSET(I100,-1,0)+1,OFFSET(I100,-1,0)))</f>
        <v>4</v>
      </c>
      <c r="J100" s="577">
        <f ca="1">IF(OR($C100="S",$C100=0),0,MATCH(0,OFFSET($D100,1,$C100,ROW($C$119)-ROW($C100)),0))</f>
        <v>0</v>
      </c>
      <c r="K100" s="577">
        <f ca="1">IF(OR($C100="S",$C100=0),0,MATCH(OFFSET($D100,0,$C100)+IF($C100&lt;&gt;1,1,COUNTIF(QCI!$A$13:$A$24,ORÇAMENTO!E100)),OFFSET($D100,1,$C100,ROW($C$119)-ROW($C100)),0))</f>
        <v>0</v>
      </c>
      <c r="L100" s="116" t="str">
        <f ca="1">IF(OR($X100&gt;0,$C100=1,$C100=2,$C100=3,$C100=4),"F","")</f>
        <v>F</v>
      </c>
      <c r="M100" s="117" t="s">
        <v>199</v>
      </c>
      <c r="N100" s="118" t="str">
        <f ca="1">CHOOSE(1+LOG(1+2*(C100=1)+4*(C100=2)+8*(C100=3)+16*(C100=4)+32*(C100="S"),2),"","Meta","Nível 2","Nível 3","Nível 4","Serviço")</f>
        <v>Serviço</v>
      </c>
      <c r="O100" s="119" t="str">
        <f ca="1">IF(OR($C100=0,$L100=""),"-",CONCATENATE(E100&amp;".",IF(AND($A$5&gt;=2,$C100&gt;=2),F100&amp;".",""),IF(AND($A$5&gt;=3,$C100&gt;=3),G100&amp;".",""),IF(AND($A$5&gt;=4,$C100&gt;=4),H100&amp;".",""),IF($C100="S",I100&amp;".","")))</f>
        <v>3.3.4.</v>
      </c>
      <c r="P100" s="120" t="s">
        <v>474</v>
      </c>
      <c r="Q100" s="121" t="s">
        <v>479</v>
      </c>
      <c r="R100" s="122" t="str">
        <f ca="1">IF($C100="S",REFERENCIA.Descricao,"(digite a descrição aqui)")</f>
        <v>Transporte com caminhão basculante de 10 m³ - rodovia pavimentada</v>
      </c>
      <c r="S100" s="123" t="str">
        <f ca="1">REFERENCIA.Unidade</f>
        <v>tkm</v>
      </c>
      <c r="T100" s="124">
        <f ca="1">OFFSET(CÁLCULO!H$15,ROW($T100)-ROW(T$15),0)</f>
        <v>5037.2700000000004</v>
      </c>
      <c r="U100" s="125">
        <f t="shared" ca="1" si="17"/>
        <v>0.82</v>
      </c>
      <c r="V100" s="126" t="s">
        <v>191</v>
      </c>
      <c r="W100" s="124">
        <f ca="1">IF($C100="S",ROUND(IF(TIPOORCAMENTO="Proposto",ORÇAMENTO.CustoUnitario*(1+$AH100),ORÇAMENTO.PrecoUnitarioLicitado),15-13*$AF$10),0)</f>
        <v>0.94</v>
      </c>
      <c r="X100" s="127">
        <f ca="1">IF($C100="S",IF(Import.TipoArredondamento&lt;&gt;"TransfereGOV",VTOTAL1,SUM(OFFSET(CÁLCULO!$AA$15,ROW($X100)-ROW($X$15),1):OFFSET(CÁLCULO!$AL$15,ROW($X100)-ROW($X$15),-1))),IF($C100=0,0,ROUND(SomaAgrup,15-13*$AF$11)))</f>
        <v>4735.03</v>
      </c>
      <c r="Y100" s="128" t="s">
        <v>245</v>
      </c>
      <c r="Z100" s="577" t="str">
        <f ca="1">IF(AND($C100="S",$X100&gt;0),IF(ISBLANK($Y100),"RA",LEFT($Y100,2)),"")</f>
        <v>RA</v>
      </c>
      <c r="AA100" s="129">
        <f ca="1">IF($C100="S",IF($Z100="CP",$X100,IF($Z100="RA",(($X100)*QCI!$AA$3),0)),SomaAgrup)</f>
        <v>4735.03</v>
      </c>
      <c r="AB100" s="130">
        <f ca="1">IF($C100="S",IF($Z100="OU",ROUND($X100,2),0),SomaAgrup)</f>
        <v>0</v>
      </c>
      <c r="AC100" s="131" t="str">
        <f ca="1">IF($N100="","",IF(ORÇAMENTO.Descricao="","DESCRIÇÃO",IF(AND($C100="S",ORÇAMENTO.Unidade=""),"UNIDADE",IF($X100&lt;0,"VALOR NEGATIVO",IF(OR(AND(TIPOORCAMENTO="Proposto",$AG100&lt;&gt;"",$AG100&gt;0,ORÇAMENTO.CustoUnitario&gt;$AG100),AND(TIPOORCAMENTO="LICITADO",ORÇAMENTO.PrecoUnitarioLicitado&gt;$AN100)),"ACIMA REF.","")))))</f>
        <v/>
      </c>
      <c r="AD100" s="577" t="str">
        <f ca="1">IF(C100&lt;=CRONO.NivelExibicao,MAX($AD$15:OFFSET(AD100,-1,0))+IF($C100&lt;&gt;1,1,MAX(1,COUNTIF(QCI!$A$13:$A$24,OFFSET($E100,-1,0)))),"")</f>
        <v/>
      </c>
      <c r="AE100" s="7" t="str">
        <f ca="1">IF(AND($C100="S",ORÇAMENTO.CodBarra&lt;&gt;""),IF(ORÇAMENTO.Fonte="",ORÇAMENTO.CodBarra,CONCATENATE(ORÇAMENTO.Fonte," ",ORÇAMENTO.CodBarra)))</f>
        <v>SICRO 5914389</v>
      </c>
      <c r="AF100" s="576">
        <f ca="1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21855</v>
      </c>
      <c r="AG100" s="498">
        <f ca="1">ROUND(IF(DESONERACAO="sim",REFERENCIA.Desonerado,REFERENCIA.NaoDesonerado),2)</f>
        <v>0.82</v>
      </c>
      <c r="AH100" s="499">
        <f ca="1">ROUND(IF(ISNUMBER(ORÇAMENTO.OpcaoBDI),ORÇAMENTO.OpcaoBDI,IF(LEFT(ORÇAMENTO.OpcaoBDI,3)="BDI",HLOOKUP(ORÇAMENTO.OpcaoBDI,$F$4:$H$5,2,FALSE),0)),15-11*$AF$9)</f>
        <v>0.15</v>
      </c>
      <c r="AJ100" s="501">
        <v>5037.2700000000004</v>
      </c>
      <c r="AL100" s="527"/>
      <c r="AM100" s="381">
        <f t="shared" ca="1" si="32"/>
        <v>4735.03</v>
      </c>
      <c r="AN100" s="566">
        <f ca="1">ROUND(ORÇAMENTO.CustoUnitario*(1+$AH100),2)</f>
        <v>0.94</v>
      </c>
    </row>
    <row r="101" spans="1:40" ht="25.5" x14ac:dyDescent="0.2">
      <c r="A101" t="str">
        <f t="shared" si="33"/>
        <v>S</v>
      </c>
      <c r="B101">
        <f t="shared" ca="1" si="34"/>
        <v>2</v>
      </c>
      <c r="C101" t="str">
        <f t="shared" ca="1" si="35"/>
        <v>S</v>
      </c>
      <c r="D101">
        <f t="shared" ca="1" si="36"/>
        <v>0</v>
      </c>
      <c r="E101">
        <f ca="1">IF($C101=1,OFFSET(E101,-1,0)+MAX(1,COUNTIF(QCI!$A$13:$A$24,OFFSET(ORÇAMENTO!E101,-1,0))),OFFSET(E101,-1,0))</f>
        <v>3</v>
      </c>
      <c r="F101">
        <f t="shared" ca="1" si="37"/>
        <v>3</v>
      </c>
      <c r="G101">
        <f t="shared" ca="1" si="38"/>
        <v>0</v>
      </c>
      <c r="H101">
        <f t="shared" ca="1" si="39"/>
        <v>0</v>
      </c>
      <c r="I101">
        <f t="shared" ca="1" si="40"/>
        <v>5</v>
      </c>
      <c r="J101">
        <f t="shared" ca="1" si="41"/>
        <v>0</v>
      </c>
      <c r="K101">
        <f ca="1">IF(OR($C101="S",$C101=0),0,MATCH(OFFSET($D101,0,$C101)+IF($C101&lt;&gt;1,1,COUNTIF(QCI!$A$13:$A$24,ORÇAMENTO!E101)),OFFSET($D101,1,$C101,ROW($C$119)-ROW($C101)),0))</f>
        <v>0</v>
      </c>
      <c r="L101" s="116" t="str">
        <f t="shared" ca="1" si="42"/>
        <v>F</v>
      </c>
      <c r="M101" s="117" t="s">
        <v>199</v>
      </c>
      <c r="N101" s="118" t="str">
        <f t="shared" ca="1" si="43"/>
        <v>Serviço</v>
      </c>
      <c r="O101" s="119" t="str">
        <f t="shared" ca="1" si="44"/>
        <v>3.3.5.</v>
      </c>
      <c r="P101" s="120" t="s">
        <v>450</v>
      </c>
      <c r="Q101" s="121" t="s">
        <v>466</v>
      </c>
      <c r="R101" s="122" t="str">
        <f ca="1">IF($C101="S",REFERENCIA.Descricao,"(digite a descrição aqui)")</f>
        <v>TUBO DE CONCRETO PA2 COMERCIAL PARA DRENAGEM - D=0,40 m (fornecimento e instalação)</v>
      </c>
      <c r="S101" s="123" t="str">
        <f ca="1">REFERENCIA.Unidade</f>
        <v>M</v>
      </c>
      <c r="T101" s="124">
        <f ca="1">OFFSET(CÁLCULO!H$15,ROW($T101)-ROW(T$15),0)</f>
        <v>119</v>
      </c>
      <c r="U101" s="125">
        <f t="shared" ca="1" si="17"/>
        <v>195.84</v>
      </c>
      <c r="V101" s="126" t="s">
        <v>156</v>
      </c>
      <c r="W101" s="124">
        <f ca="1">IF($C101="S",ROUND(IF(TIPOORCAMENTO="Proposto",ORÇAMENTO.CustoUnitario*(1+$AH101),ORÇAMENTO.PrecoUnitarioLicitado),15-13*$AF$10),0)</f>
        <v>241.63</v>
      </c>
      <c r="X101" s="127">
        <f ca="1">IF($C101="S",IF(Import.TipoArredondamento&lt;&gt;"TransfereGOV",VTOTAL1,SUM(OFFSET(CÁLCULO!$AA$15,ROW($X101)-ROW($X$15),1):OFFSET(CÁLCULO!$AL$15,ROW($X101)-ROW($X$15),-1))),IF($C101=0,0,ROUND(SomaAgrup,15-13*$AF$11)))</f>
        <v>28753.97</v>
      </c>
      <c r="Y101" s="128" t="s">
        <v>245</v>
      </c>
      <c r="Z101" t="str">
        <f t="shared" ca="1" si="45"/>
        <v>RA</v>
      </c>
      <c r="AA101" s="129">
        <f ca="1">IF($C101="S",IF($Z101="CP",$X101,IF($Z101="RA",(($X101)*QCI!$AA$3),0)),SomaAgrup)</f>
        <v>28753.97</v>
      </c>
      <c r="AB101" s="130">
        <f t="shared" ca="1" si="46"/>
        <v>0</v>
      </c>
      <c r="AC101" s="131" t="str">
        <f ca="1">IF($N101="","",IF(ORÇAMENTO.Descricao="","DESCRIÇÃO",IF(AND($C101="S",ORÇAMENTO.Unidade=""),"UNIDADE",IF($X101&lt;0,"VALOR NEGATIVO",IF(OR(AND(TIPOORCAMENTO="Proposto",$AG101&lt;&gt;"",$AG101&gt;0,ORÇAMENTO.CustoUnitario&gt;$AG101),AND(TIPOORCAMENTO="LICITADO",ORÇAMENTO.PrecoUnitarioLicitado&gt;$AN101)),"ACIMA REF.","")))))</f>
        <v/>
      </c>
      <c r="AD101" t="str">
        <f ca="1">IF(C101&lt;=CRONO.NivelExibicao,MAX($AD$15:OFFSET(AD101,-1,0))+IF($C101&lt;&gt;1,1,MAX(1,COUNTIF(QCI!$A$13:$A$24,OFFSET($E101,-1,0)))),"")</f>
        <v/>
      </c>
      <c r="AE101" s="7" t="str">
        <f ca="1">IF(AND($C101="S",ORÇAMENTO.CodBarra&lt;&gt;""),IF(ORÇAMENTO.Fonte="",ORÇAMENTO.CodBarra,CONCATENATE(ORÇAMENTO.Fonte," ",ORÇAMENTO.CodBarra)))</f>
        <v>Composição 4</v>
      </c>
      <c r="AF101" s="13">
        <f ca="1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6</v>
      </c>
      <c r="AG101" s="498">
        <f ca="1">ROUND(IF(DESONERACAO="sim",REFERENCIA.Desonerado,REFERENCIA.NaoDesonerado),2)</f>
        <v>195.84</v>
      </c>
      <c r="AH101" s="499">
        <f t="shared" ca="1" si="47"/>
        <v>0.23380000000000001</v>
      </c>
      <c r="AJ101" s="501">
        <v>119</v>
      </c>
      <c r="AL101" s="527"/>
      <c r="AM101" s="381">
        <f t="shared" ca="1" si="32"/>
        <v>28753.97</v>
      </c>
      <c r="AN101" s="566">
        <f t="shared" ca="1" si="48"/>
        <v>241.63</v>
      </c>
    </row>
    <row r="102" spans="1:40" x14ac:dyDescent="0.2">
      <c r="A102" t="str">
        <f t="shared" si="33"/>
        <v>S</v>
      </c>
      <c r="B102">
        <f t="shared" ca="1" si="34"/>
        <v>2</v>
      </c>
      <c r="C102" t="str">
        <f t="shared" ca="1" si="35"/>
        <v>S</v>
      </c>
      <c r="D102">
        <f t="shared" ca="1" si="36"/>
        <v>0</v>
      </c>
      <c r="E102">
        <f ca="1">IF($C102=1,OFFSET(E102,-1,0)+MAX(1,COUNTIF(QCI!$A$13:$A$24,OFFSET(ORÇAMENTO!E102,-1,0))),OFFSET(E102,-1,0))</f>
        <v>3</v>
      </c>
      <c r="F102">
        <f t="shared" ca="1" si="37"/>
        <v>3</v>
      </c>
      <c r="G102">
        <f t="shared" ca="1" si="38"/>
        <v>0</v>
      </c>
      <c r="H102">
        <f t="shared" ca="1" si="39"/>
        <v>0</v>
      </c>
      <c r="I102">
        <f t="shared" ca="1" si="40"/>
        <v>6</v>
      </c>
      <c r="J102">
        <f t="shared" ca="1" si="41"/>
        <v>0</v>
      </c>
      <c r="K102">
        <f ca="1">IF(OR($C102="S",$C102=0),0,MATCH(OFFSET($D102,0,$C102)+IF($C102&lt;&gt;1,1,COUNTIF(QCI!$A$13:$A$24,ORÇAMENTO!E102)),OFFSET($D102,1,$C102,ROW($C$119)-ROW($C102)),0))</f>
        <v>0</v>
      </c>
      <c r="L102" s="116" t="str">
        <f t="shared" ca="1" si="42"/>
        <v>F</v>
      </c>
      <c r="M102" s="117" t="s">
        <v>199</v>
      </c>
      <c r="N102" s="118" t="str">
        <f t="shared" ca="1" si="43"/>
        <v>Serviço</v>
      </c>
      <c r="O102" s="119" t="str">
        <f t="shared" ca="1" si="44"/>
        <v>3.3.6.</v>
      </c>
      <c r="P102" s="120" t="s">
        <v>450</v>
      </c>
      <c r="Q102" s="121" t="s">
        <v>452</v>
      </c>
      <c r="R102" s="122" t="str">
        <f ca="1">IF($C102="S",REFERENCIA.Descricao,"(digite a descrição aqui)")</f>
        <v>BOCA DE LOBO COM GRADE 80X80 (INTERNA) - TIPO BL</v>
      </c>
      <c r="S102" s="123" t="str">
        <f ca="1">REFERENCIA.Unidade</f>
        <v>UNID.</v>
      </c>
      <c r="T102" s="124">
        <f ca="1">OFFSET(CÁLCULO!H$15,ROW($T102)-ROW(T$15),0)</f>
        <v>2</v>
      </c>
      <c r="U102" s="125">
        <f t="shared" ref="U102:U118" ca="1" si="49">AG102</f>
        <v>1437.9</v>
      </c>
      <c r="V102" s="126" t="s">
        <v>156</v>
      </c>
      <c r="W102" s="124">
        <f ca="1">IF($C102="S",ROUND(IF(TIPOORCAMENTO="Proposto",ORÇAMENTO.CustoUnitario*(1+$AH102),ORÇAMENTO.PrecoUnitarioLicitado),15-13*$AF$10),0)</f>
        <v>1774.08</v>
      </c>
      <c r="X102" s="127">
        <f ca="1">IF($C102="S",IF(Import.TipoArredondamento&lt;&gt;"TransfereGOV",VTOTAL1,SUM(OFFSET(CÁLCULO!$AA$15,ROW($X102)-ROW($X$15),1):OFFSET(CÁLCULO!$AL$15,ROW($X102)-ROW($X$15),-1))),IF($C102=0,0,ROUND(SomaAgrup,15-13*$AF$11)))</f>
        <v>3548.16</v>
      </c>
      <c r="Y102" s="128" t="s">
        <v>245</v>
      </c>
      <c r="Z102" t="str">
        <f t="shared" ca="1" si="45"/>
        <v>RA</v>
      </c>
      <c r="AA102" s="129">
        <f ca="1">IF($C102="S",IF($Z102="CP",$X102,IF($Z102="RA",(($X102)*QCI!$AA$3),0)),SomaAgrup)</f>
        <v>3548.16</v>
      </c>
      <c r="AB102" s="130">
        <f t="shared" ca="1" si="46"/>
        <v>0</v>
      </c>
      <c r="AC102" s="131" t="str">
        <f ca="1">IF($N102="","",IF(ORÇAMENTO.Descricao="","DESCRIÇÃO",IF(AND($C102="S",ORÇAMENTO.Unidade=""),"UNIDADE",IF($X102&lt;0,"VALOR NEGATIVO",IF(OR(AND(TIPOORCAMENTO="Proposto",$AG102&lt;&gt;"",$AG102&gt;0,ORÇAMENTO.CustoUnitario&gt;$AG102),AND(TIPOORCAMENTO="LICITADO",ORÇAMENTO.PrecoUnitarioLicitado&gt;$AN102)),"ACIMA REF.","")))))</f>
        <v/>
      </c>
      <c r="AD102" t="str">
        <f ca="1">IF(C102&lt;=CRONO.NivelExibicao,MAX($AD$15:OFFSET(AD102,-1,0))+IF($C102&lt;&gt;1,1,MAX(1,COUNTIF(QCI!$A$13:$A$24,OFFSET($E102,-1,0)))),"")</f>
        <v/>
      </c>
      <c r="AE102" s="7" t="str">
        <f ca="1">IF(AND($C102="S",ORÇAMENTO.CodBarra&lt;&gt;""),IF(ORÇAMENTO.Fonte="",ORÇAMENTO.CodBarra,CONCATENATE(ORÇAMENTO.Fonte," ",ORÇAMENTO.CodBarra)))</f>
        <v>Composição 2</v>
      </c>
      <c r="AF102" s="13">
        <f ca="1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4</v>
      </c>
      <c r="AG102" s="498">
        <f ca="1">ROUND(IF(DESONERACAO="sim",REFERENCIA.Desonerado,REFERENCIA.NaoDesonerado),2)</f>
        <v>1437.9</v>
      </c>
      <c r="AH102" s="499">
        <f t="shared" ca="1" si="47"/>
        <v>0.23380000000000001</v>
      </c>
      <c r="AJ102" s="501">
        <v>2</v>
      </c>
      <c r="AL102" s="527"/>
      <c r="AM102" s="381">
        <f t="shared" ca="1" si="32"/>
        <v>3548.16</v>
      </c>
      <c r="AN102" s="566">
        <f t="shared" ca="1" si="48"/>
        <v>1774.08</v>
      </c>
    </row>
    <row r="103" spans="1:40" ht="25.5" x14ac:dyDescent="0.2">
      <c r="A103" t="str">
        <f t="shared" si="33"/>
        <v>S</v>
      </c>
      <c r="B103">
        <f t="shared" ca="1" si="34"/>
        <v>2</v>
      </c>
      <c r="C103" t="str">
        <f t="shared" ca="1" si="35"/>
        <v>S</v>
      </c>
      <c r="D103">
        <f t="shared" ca="1" si="36"/>
        <v>0</v>
      </c>
      <c r="E103">
        <f ca="1">IF($C103=1,OFFSET(E103,-1,0)+MAX(1,COUNTIF(QCI!$A$13:$A$24,OFFSET(ORÇAMENTO!E103,-1,0))),OFFSET(E103,-1,0))</f>
        <v>3</v>
      </c>
      <c r="F103">
        <f t="shared" ca="1" si="37"/>
        <v>3</v>
      </c>
      <c r="G103">
        <f t="shared" ca="1" si="38"/>
        <v>0</v>
      </c>
      <c r="H103">
        <f t="shared" ca="1" si="39"/>
        <v>0</v>
      </c>
      <c r="I103">
        <f t="shared" ca="1" si="40"/>
        <v>7</v>
      </c>
      <c r="J103">
        <f t="shared" ca="1" si="41"/>
        <v>0</v>
      </c>
      <c r="K103">
        <f ca="1">IF(OR($C103="S",$C103=0),0,MATCH(OFFSET($D103,0,$C103)+IF($C103&lt;&gt;1,1,COUNTIF(QCI!$A$13:$A$24,ORÇAMENTO!E103)),OFFSET($D103,1,$C103,ROW($C$119)-ROW($C103)),0))</f>
        <v>0</v>
      </c>
      <c r="L103" s="116" t="str">
        <f t="shared" ca="1" si="42"/>
        <v>F</v>
      </c>
      <c r="M103" s="117" t="s">
        <v>199</v>
      </c>
      <c r="N103" s="118" t="str">
        <f t="shared" ca="1" si="43"/>
        <v>Serviço</v>
      </c>
      <c r="O103" s="119" t="str">
        <f t="shared" ca="1" si="44"/>
        <v>3.3.7.</v>
      </c>
      <c r="P103" s="120" t="s">
        <v>450</v>
      </c>
      <c r="Q103" s="121" t="s">
        <v>453</v>
      </c>
      <c r="R103" s="122" t="str">
        <f ca="1">IF($C103="S",REFERENCIA.Descricao,"(digite a descrição aqui)")</f>
        <v>SARJETA DE CONCRETO MOLDADA IN LOCO, CONCRETO USINADO 30X5 CM</v>
      </c>
      <c r="S103" s="123" t="str">
        <f ca="1">REFERENCIA.Unidade</f>
        <v>M</v>
      </c>
      <c r="T103" s="124">
        <f ca="1">OFFSET(CÁLCULO!H$15,ROW($T103)-ROW(T$15),0)</f>
        <v>504.31</v>
      </c>
      <c r="U103" s="125">
        <f t="shared" ca="1" si="49"/>
        <v>21.53</v>
      </c>
      <c r="V103" s="126" t="s">
        <v>156</v>
      </c>
      <c r="W103" s="124">
        <f ca="1">IF($C103="S",ROUND(IF(TIPOORCAMENTO="Proposto",ORÇAMENTO.CustoUnitario*(1+$AH103),ORÇAMENTO.PrecoUnitarioLicitado),15-13*$AF$10),0)</f>
        <v>26.56</v>
      </c>
      <c r="X103" s="127">
        <f ca="1">IF($C103="S",IF(Import.TipoArredondamento&lt;&gt;"TransfereGOV",VTOTAL1,SUM(OFFSET(CÁLCULO!$AA$15,ROW($X103)-ROW($X$15),1):OFFSET(CÁLCULO!$AL$15,ROW($X103)-ROW($X$15),-1))),IF($C103=0,0,ROUND(SomaAgrup,15-13*$AF$11)))</f>
        <v>13394.47</v>
      </c>
      <c r="Y103" s="128" t="s">
        <v>245</v>
      </c>
      <c r="Z103" t="str">
        <f t="shared" ca="1" si="45"/>
        <v>RA</v>
      </c>
      <c r="AA103" s="129">
        <f ca="1">IF($C103="S",IF($Z103="CP",$X103,IF($Z103="RA",(($X103)*QCI!$AA$3),0)),SomaAgrup)</f>
        <v>13394.47</v>
      </c>
      <c r="AB103" s="130">
        <f t="shared" ca="1" si="46"/>
        <v>0</v>
      </c>
      <c r="AC103" s="131" t="str">
        <f ca="1">IF($N103="","",IF(ORÇAMENTO.Descricao="","DESCRIÇÃO",IF(AND($C103="S",ORÇAMENTO.Unidade=""),"UNIDADE",IF($X103&lt;0,"VALOR NEGATIVO",IF(OR(AND(TIPOORCAMENTO="Proposto",$AG103&lt;&gt;"",$AG103&gt;0,ORÇAMENTO.CustoUnitario&gt;$AG103),AND(TIPOORCAMENTO="LICITADO",ORÇAMENTO.PrecoUnitarioLicitado&gt;$AN103)),"ACIMA REF.","")))))</f>
        <v/>
      </c>
      <c r="AD103" t="str">
        <f ca="1">IF(C103&lt;=CRONO.NivelExibicao,MAX($AD$15:OFFSET(AD103,-1,0))+IF($C103&lt;&gt;1,1,MAX(1,COUNTIF(QCI!$A$13:$A$24,OFFSET($E103,-1,0)))),"")</f>
        <v/>
      </c>
      <c r="AE103" s="7" t="str">
        <f ca="1">IF(AND($C103="S",ORÇAMENTO.CodBarra&lt;&gt;""),IF(ORÇAMENTO.Fonte="",ORÇAMENTO.CodBarra,CONCATENATE(ORÇAMENTO.Fonte," ",ORÇAMENTO.CodBarra)))</f>
        <v>Composição 1</v>
      </c>
      <c r="AF103" s="13">
        <f ca="1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3</v>
      </c>
      <c r="AG103" s="498">
        <f ca="1">ROUND(IF(DESONERACAO="sim",REFERENCIA.Desonerado,REFERENCIA.NaoDesonerado),2)</f>
        <v>21.53</v>
      </c>
      <c r="AH103" s="499">
        <f t="shared" ca="1" si="47"/>
        <v>0.23380000000000001</v>
      </c>
      <c r="AJ103" s="501">
        <v>504.31</v>
      </c>
      <c r="AL103" s="527"/>
      <c r="AM103" s="381">
        <f t="shared" ca="1" si="32"/>
        <v>13394.47</v>
      </c>
      <c r="AN103" s="566">
        <f t="shared" ca="1" si="48"/>
        <v>26.56</v>
      </c>
    </row>
    <row r="104" spans="1:40" x14ac:dyDescent="0.2">
      <c r="A104">
        <f t="shared" si="33"/>
        <v>2</v>
      </c>
      <c r="B104">
        <f t="shared" ca="1" si="34"/>
        <v>2</v>
      </c>
      <c r="C104">
        <f t="shared" ca="1" si="35"/>
        <v>2</v>
      </c>
      <c r="D104">
        <f t="shared" ca="1" si="36"/>
        <v>9</v>
      </c>
      <c r="E104">
        <f ca="1">IF($C104=1,OFFSET(E104,-1,0)+MAX(1,COUNTIF(QCI!$A$13:$A$24,OFFSET(ORÇAMENTO!E104,-1,0))),OFFSET(E104,-1,0))</f>
        <v>3</v>
      </c>
      <c r="F104">
        <f t="shared" ca="1" si="37"/>
        <v>4</v>
      </c>
      <c r="G104">
        <f t="shared" ca="1" si="38"/>
        <v>0</v>
      </c>
      <c r="H104">
        <f t="shared" ca="1" si="39"/>
        <v>0</v>
      </c>
      <c r="I104">
        <f t="shared" ca="1" si="40"/>
        <v>0</v>
      </c>
      <c r="J104">
        <f t="shared" ca="1" si="41"/>
        <v>15</v>
      </c>
      <c r="K104">
        <f ca="1">IF(OR($C104="S",$C104=0),0,MATCH(OFFSET($D104,0,$C104)+IF($C104&lt;&gt;1,1,COUNTIF(QCI!$A$13:$A$24,ORÇAMENTO!E104)),OFFSET($D104,1,$C104,ROW($C$119)-ROW($C104)),0))</f>
        <v>9</v>
      </c>
      <c r="L104" s="116" t="str">
        <f t="shared" ca="1" si="42"/>
        <v>F</v>
      </c>
      <c r="M104" s="117" t="s">
        <v>196</v>
      </c>
      <c r="N104" s="118" t="str">
        <f t="shared" ca="1" si="43"/>
        <v>Nível 2</v>
      </c>
      <c r="O104" s="119" t="str">
        <f t="shared" ca="1" si="44"/>
        <v>3.4.</v>
      </c>
      <c r="P104" s="120" t="s">
        <v>247</v>
      </c>
      <c r="Q104" s="121"/>
      <c r="R104" s="122" t="s">
        <v>454</v>
      </c>
      <c r="S104" s="123" t="str">
        <f ca="1">REFERENCIA.Unidade</f>
        <v>-</v>
      </c>
      <c r="T104" s="124">
        <f ca="1">OFFSET(CÁLCULO!H$15,ROW($T104)-ROW(T$15),0)</f>
        <v>0</v>
      </c>
      <c r="U104" s="125">
        <f t="shared" ca="1" si="49"/>
        <v>0</v>
      </c>
      <c r="V104" s="126" t="s">
        <v>156</v>
      </c>
      <c r="W104" s="124">
        <f ca="1">IF($C104="S",ROUND(IF(TIPOORCAMENTO="Proposto",ORÇAMENTO.CustoUnitario*(1+$AH104),ORÇAMENTO.PrecoUnitarioLicitado),15-13*$AF$10),0)</f>
        <v>0</v>
      </c>
      <c r="X104" s="127">
        <f ca="1">IF($C104="S",IF(Import.TipoArredondamento&lt;&gt;"TransfereGOV",VTOTAL1,SUM(OFFSET(CÁLCULO!$AA$15,ROW($X104)-ROW($X$15),1):OFFSET(CÁLCULO!$AL$15,ROW($X104)-ROW($X$15),-1))),IF($C104=0,0,ROUND(SomaAgrup,15-13*$AF$11)))</f>
        <v>268475.01</v>
      </c>
      <c r="Y104" s="128" t="s">
        <v>245</v>
      </c>
      <c r="Z104" t="str">
        <f t="shared" ca="1" si="45"/>
        <v/>
      </c>
      <c r="AA104" s="129">
        <f ca="1">IF($C104="S",IF($Z104="CP",$X104,IF($Z104="RA",(($X104)*QCI!$AA$3),0)),SomaAgrup)</f>
        <v>268475.01</v>
      </c>
      <c r="AB104" s="130">
        <f t="shared" ca="1" si="46"/>
        <v>0</v>
      </c>
      <c r="AC104" s="131" t="str">
        <f ca="1">IF($N104="","",IF(ORÇAMENTO.Descricao="","DESCRIÇÃO",IF(AND($C104="S",ORÇAMENTO.Unidade=""),"UNIDADE",IF($X104&lt;0,"VALOR NEGATIVO",IF(OR(AND(TIPOORCAMENTO="Proposto",$AG104&lt;&gt;"",$AG104&gt;0,ORÇAMENTO.CustoUnitario&gt;$AG104),AND(TIPOORCAMENTO="LICITADO",ORÇAMENTO.PrecoUnitarioLicitado&gt;$AN104)),"ACIMA REF.","")))))</f>
        <v/>
      </c>
      <c r="AD104">
        <f ca="1">IF(C104&lt;=CRONO.NivelExibicao,MAX($AD$15:OFFSET(AD104,-1,0))+IF($C104&lt;&gt;1,1,MAX(1,COUNTIF(QCI!$A$13:$A$24,OFFSET($E104,-1,0)))),"")</f>
        <v>17</v>
      </c>
      <c r="AE104" s="7" t="b">
        <f ca="1">IF(AND($C104="S",ORÇAMENTO.CodBarra&lt;&gt;""),IF(ORÇAMENTO.Fonte="",ORÇAMENTO.CodBarra,CONCATENATE(ORÇAMENTO.Fonte," ",ORÇAMENTO.CodBarra)))</f>
        <v>0</v>
      </c>
      <c r="AF104" s="13" t="str">
        <f ca="1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(Sem Código)</v>
      </c>
      <c r="AG104" s="498">
        <f ca="1">ROUND(IF(DESONERACAO="sim",REFERENCIA.Desonerado,REFERENCIA.NaoDesonerado),2)</f>
        <v>0</v>
      </c>
      <c r="AH104" s="499">
        <f t="shared" ca="1" si="47"/>
        <v>0.23380000000000001</v>
      </c>
      <c r="AJ104" s="501"/>
      <c r="AL104" s="527"/>
      <c r="AM104" s="381">
        <f t="shared" ca="1" si="32"/>
        <v>268475.01</v>
      </c>
      <c r="AN104" s="566">
        <f t="shared" ca="1" si="48"/>
        <v>0</v>
      </c>
    </row>
    <row r="105" spans="1:40" ht="25.5" x14ac:dyDescent="0.2">
      <c r="A105" t="str">
        <f t="shared" si="33"/>
        <v>S</v>
      </c>
      <c r="B105">
        <f t="shared" ca="1" si="34"/>
        <v>2</v>
      </c>
      <c r="C105" t="str">
        <f t="shared" ca="1" si="35"/>
        <v>S</v>
      </c>
      <c r="D105">
        <f t="shared" ca="1" si="36"/>
        <v>0</v>
      </c>
      <c r="E105">
        <f ca="1">IF($C105=1,OFFSET(E105,-1,0)+MAX(1,COUNTIF(QCI!$A$13:$A$24,OFFSET(ORÇAMENTO!E105,-1,0))),OFFSET(E105,-1,0))</f>
        <v>3</v>
      </c>
      <c r="F105">
        <f t="shared" ca="1" si="37"/>
        <v>4</v>
      </c>
      <c r="G105">
        <f t="shared" ca="1" si="38"/>
        <v>0</v>
      </c>
      <c r="H105">
        <f t="shared" ca="1" si="39"/>
        <v>0</v>
      </c>
      <c r="I105">
        <f t="shared" ca="1" si="40"/>
        <v>1</v>
      </c>
      <c r="J105">
        <f t="shared" ca="1" si="41"/>
        <v>0</v>
      </c>
      <c r="K105">
        <f ca="1">IF(OR($C105="S",$C105=0),0,MATCH(OFFSET($D105,0,$C105)+IF($C105&lt;&gt;1,1,COUNTIF(QCI!$A$13:$A$24,ORÇAMENTO!E105)),OFFSET($D105,1,$C105,ROW($C$119)-ROW($C105)),0))</f>
        <v>0</v>
      </c>
      <c r="L105" s="116" t="str">
        <f t="shared" ca="1" si="42"/>
        <v>F</v>
      </c>
      <c r="M105" s="117" t="s">
        <v>199</v>
      </c>
      <c r="N105" s="118" t="str">
        <f t="shared" ca="1" si="43"/>
        <v>Serviço</v>
      </c>
      <c r="O105" s="119" t="str">
        <f t="shared" ca="1" si="44"/>
        <v>3.4.1.</v>
      </c>
      <c r="P105" s="120" t="s">
        <v>450</v>
      </c>
      <c r="Q105" s="121" t="s">
        <v>497</v>
      </c>
      <c r="R105" s="122" t="str">
        <f ca="1">IF($C105="S",REFERENCIA.Descricao,"(digite a descrição aqui)")</f>
        <v>LIMPEZA E LAVAGEM DE PISTA COM CAMINHÃO PIPA E VASSOURA MECÂNICA</v>
      </c>
      <c r="S105" s="123" t="str">
        <f ca="1">REFERENCIA.Unidade</f>
        <v>M²</v>
      </c>
      <c r="T105" s="124">
        <f ca="1">OFFSET(CÁLCULO!H$15,ROW($T105)-ROW(T$15),0)</f>
        <v>2472.09</v>
      </c>
      <c r="U105" s="125">
        <f t="shared" ca="1" si="49"/>
        <v>1.03</v>
      </c>
      <c r="V105" s="126" t="s">
        <v>156</v>
      </c>
      <c r="W105" s="124">
        <f ca="1">IF($C105="S",ROUND(IF(TIPOORCAMENTO="Proposto",ORÇAMENTO.CustoUnitario*(1+$AH105),ORÇAMENTO.PrecoUnitarioLicitado),15-13*$AF$10),0)</f>
        <v>1.27</v>
      </c>
      <c r="X105" s="127">
        <f ca="1">IF($C105="S",IF(Import.TipoArredondamento&lt;&gt;"TransfereGOV",VTOTAL1,SUM(OFFSET(CÁLCULO!$AA$15,ROW($X105)-ROW($X$15),1):OFFSET(CÁLCULO!$AL$15,ROW($X105)-ROW($X$15),-1))),IF($C105=0,0,ROUND(SomaAgrup,15-13*$AF$11)))</f>
        <v>3139.55</v>
      </c>
      <c r="Y105" s="128" t="s">
        <v>245</v>
      </c>
      <c r="Z105" t="str">
        <f t="shared" ca="1" si="45"/>
        <v>RA</v>
      </c>
      <c r="AA105" s="129">
        <f ca="1">IF($C105="S",IF($Z105="CP",$X105,IF($Z105="RA",(($X105)*QCI!$AA$3),0)),SomaAgrup)</f>
        <v>3139.55</v>
      </c>
      <c r="AB105" s="130">
        <f t="shared" ca="1" si="46"/>
        <v>0</v>
      </c>
      <c r="AC105" s="131" t="str">
        <f ca="1">IF($N105="","",IF(ORÇAMENTO.Descricao="","DESCRIÇÃO",IF(AND($C105="S",ORÇAMENTO.Unidade=""),"UNIDADE",IF($X105&lt;0,"VALOR NEGATIVO",IF(OR(AND(TIPOORCAMENTO="Proposto",$AG105&lt;&gt;"",$AG105&gt;0,ORÇAMENTO.CustoUnitario&gt;$AG105),AND(TIPOORCAMENTO="LICITADO",ORÇAMENTO.PrecoUnitarioLicitado&gt;$AN105)),"ACIMA REF.","")))))</f>
        <v/>
      </c>
      <c r="AD105" t="str">
        <f ca="1">IF(C105&lt;=CRONO.NivelExibicao,MAX($AD$15:OFFSET(AD105,-1,0))+IF($C105&lt;&gt;1,1,MAX(1,COUNTIF(QCI!$A$13:$A$24,OFFSET($E105,-1,0)))),"")</f>
        <v/>
      </c>
      <c r="AE105" s="7" t="str">
        <f ca="1">IF(AND($C105="S",ORÇAMENTO.CodBarra&lt;&gt;""),IF(ORÇAMENTO.Fonte="",ORÇAMENTO.CodBarra,CONCATENATE(ORÇAMENTO.Fonte," ",ORÇAMENTO.CodBarra)))</f>
        <v>Composição 6</v>
      </c>
      <c r="AF105" s="13">
        <f ca="1">IF(ISERROR(INDIRECT(ORÇAMENTO.BancoRef)),"(abra o arquivo 'Referência "&amp;Excel_BuiltIn_Database&amp;".xlsm)",IF(OR($C105&lt;&gt;"S",ORÇAMENTO.CodBarra=""),"(Sem Código)",IF(ISERROR(MATCH($AE105,INDIRECT(ORÇAMENTO.BancoRef),0)),"(Código não identificado nas referências)",MATCH($AE105,INDIRECT(ORÇAMENTO.BancoRef),0))))</f>
        <v>8</v>
      </c>
      <c r="AG105" s="498">
        <f ca="1">ROUND(IF(DESONERACAO="sim",REFERENCIA.Desonerado,REFERENCIA.NaoDesonerado),2)</f>
        <v>1.03</v>
      </c>
      <c r="AH105" s="499">
        <f t="shared" ca="1" si="47"/>
        <v>0.23380000000000001</v>
      </c>
      <c r="AJ105" s="501">
        <v>2472.09</v>
      </c>
      <c r="AL105" s="527"/>
      <c r="AM105" s="381">
        <f t="shared" ca="1" si="32"/>
        <v>3139.55</v>
      </c>
      <c r="AN105" s="566">
        <f t="shared" ca="1" si="48"/>
        <v>1.27</v>
      </c>
    </row>
    <row r="106" spans="1:40" x14ac:dyDescent="0.2">
      <c r="A106" t="str">
        <f t="shared" si="33"/>
        <v>S</v>
      </c>
      <c r="B106">
        <f t="shared" ca="1" si="34"/>
        <v>2</v>
      </c>
      <c r="C106" t="str">
        <f t="shared" ca="1" si="35"/>
        <v>S</v>
      </c>
      <c r="D106">
        <f t="shared" ca="1" si="36"/>
        <v>0</v>
      </c>
      <c r="E106">
        <f ca="1">IF($C106=1,OFFSET(E106,-1,0)+MAX(1,COUNTIF(QCI!$A$13:$A$24,OFFSET(ORÇAMENTO!E106,-1,0))),OFFSET(E106,-1,0))</f>
        <v>3</v>
      </c>
      <c r="F106">
        <f t="shared" ca="1" si="37"/>
        <v>4</v>
      </c>
      <c r="G106">
        <f t="shared" ca="1" si="38"/>
        <v>0</v>
      </c>
      <c r="H106">
        <f t="shared" ca="1" si="39"/>
        <v>0</v>
      </c>
      <c r="I106">
        <f t="shared" ca="1" si="40"/>
        <v>2</v>
      </c>
      <c r="J106">
        <f t="shared" ca="1" si="41"/>
        <v>0</v>
      </c>
      <c r="K106">
        <f ca="1">IF(OR($C106="S",$C106=0),0,MATCH(OFFSET($D106,0,$C106)+IF($C106&lt;&gt;1,1,COUNTIF(QCI!$A$13:$A$24,ORÇAMENTO!E106)),OFFSET($D106,1,$C106,ROW($C$119)-ROW($C106)),0))</f>
        <v>0</v>
      </c>
      <c r="L106" s="116" t="str">
        <f t="shared" ca="1" si="42"/>
        <v>F</v>
      </c>
      <c r="M106" s="117" t="s">
        <v>199</v>
      </c>
      <c r="N106" s="118" t="str">
        <f t="shared" ca="1" si="43"/>
        <v>Serviço</v>
      </c>
      <c r="O106" s="119" t="str">
        <f t="shared" ca="1" si="44"/>
        <v>3.4.2.</v>
      </c>
      <c r="P106" s="120" t="s">
        <v>474</v>
      </c>
      <c r="Q106" s="121" t="s">
        <v>481</v>
      </c>
      <c r="R106" s="122" t="str">
        <f ca="1">IF($C106="S",REFERENCIA.Descricao,"(digite a descrição aqui)")</f>
        <v>Pintura de ligação</v>
      </c>
      <c r="S106" s="123" t="str">
        <f ca="1">REFERENCIA.Unidade</f>
        <v>m²</v>
      </c>
      <c r="T106" s="124">
        <f ca="1">OFFSET(CÁLCULO!H$15,ROW($T106)-ROW(T$15),0)</f>
        <v>4944.18</v>
      </c>
      <c r="U106" s="125">
        <f t="shared" ca="1" si="49"/>
        <v>0.46</v>
      </c>
      <c r="V106" s="126" t="s">
        <v>156</v>
      </c>
      <c r="W106" s="124">
        <f ca="1">IF($C106="S",ROUND(IF(TIPOORCAMENTO="Proposto",ORÇAMENTO.CustoUnitario*(1+$AH106),ORÇAMENTO.PrecoUnitarioLicitado),15-13*$AF$10),0)</f>
        <v>0.56999999999999995</v>
      </c>
      <c r="X106" s="127">
        <f ca="1">IF($C106="S",IF(Import.TipoArredondamento&lt;&gt;"TransfereGOV",VTOTAL1,SUM(OFFSET(CÁLCULO!$AA$15,ROW($X106)-ROW($X$15),1):OFFSET(CÁLCULO!$AL$15,ROW($X106)-ROW($X$15),-1))),IF($C106=0,0,ROUND(SomaAgrup,15-13*$AF$11)))</f>
        <v>2818.18</v>
      </c>
      <c r="Y106" s="128" t="s">
        <v>245</v>
      </c>
      <c r="Z106" t="str">
        <f t="shared" ca="1" si="45"/>
        <v>RA</v>
      </c>
      <c r="AA106" s="129">
        <f ca="1">IF($C106="S",IF($Z106="CP",$X106,IF($Z106="RA",(($X106)*QCI!$AA$3),0)),SomaAgrup)</f>
        <v>2818.18</v>
      </c>
      <c r="AB106" s="130">
        <f t="shared" ca="1" si="46"/>
        <v>0</v>
      </c>
      <c r="AC106" s="131" t="str">
        <f ca="1">IF($N106="","",IF(ORÇAMENTO.Descricao="","DESCRIÇÃO",IF(AND($C106="S",ORÇAMENTO.Unidade=""),"UNIDADE",IF($X106&lt;0,"VALOR NEGATIVO",IF(OR(AND(TIPOORCAMENTO="Proposto",$AG106&lt;&gt;"",$AG106&gt;0,ORÇAMENTO.CustoUnitario&gt;$AG106),AND(TIPOORCAMENTO="LICITADO",ORÇAMENTO.PrecoUnitarioLicitado&gt;$AN106)),"ACIMA REF.","")))))</f>
        <v/>
      </c>
      <c r="AD106" t="str">
        <f ca="1">IF(C106&lt;=CRONO.NivelExibicao,MAX($AD$15:OFFSET(AD106,-1,0))+IF($C106&lt;&gt;1,1,MAX(1,COUNTIF(QCI!$A$13:$A$24,OFFSET($E106,-1,0)))),"")</f>
        <v/>
      </c>
      <c r="AE106" s="7" t="str">
        <f ca="1">IF(AND($C106="S",ORÇAMENTO.CodBarra&lt;&gt;""),IF(ORÇAMENTO.Fonte="",ORÇAMENTO.CodBarra,CONCATENATE(ORÇAMENTO.Fonte," ",ORÇAMENTO.CodBarra)))</f>
        <v>SICRO 4011353</v>
      </c>
      <c r="AF106" s="13">
        <f ca="1">IF(ISERROR(INDIRECT(ORÇAMENTO.BancoRef)),"(abra o arquivo 'Referência "&amp;Excel_BuiltIn_Database&amp;".xlsm)",IF(OR($C106&lt;&gt;"S",ORÇAMENTO.CodBarra=""),"(Sem Código)",IF(ISERROR(MATCH($AE106,INDIRECT(ORÇAMENTO.BancoRef),0)),"(Código não identificado nas referências)",MATCH($AE106,INDIRECT(ORÇAMENTO.BancoRef),0))))</f>
        <v>20411</v>
      </c>
      <c r="AG106" s="498">
        <f ca="1">ROUND(IF(DESONERACAO="sim",REFERENCIA.Desonerado,REFERENCIA.NaoDesonerado),2)</f>
        <v>0.46</v>
      </c>
      <c r="AH106" s="499">
        <f t="shared" ca="1" si="47"/>
        <v>0.23380000000000001</v>
      </c>
      <c r="AJ106" s="501">
        <v>4944.18</v>
      </c>
      <c r="AL106" s="527"/>
      <c r="AM106" s="381">
        <f t="shared" ca="1" si="32"/>
        <v>2818.18</v>
      </c>
      <c r="AN106" s="566">
        <f t="shared" ca="1" si="48"/>
        <v>0.56999999999999995</v>
      </c>
    </row>
    <row r="107" spans="1:40" x14ac:dyDescent="0.2">
      <c r="A107" t="str">
        <f t="shared" si="33"/>
        <v>S</v>
      </c>
      <c r="B107">
        <f t="shared" ca="1" si="34"/>
        <v>2</v>
      </c>
      <c r="C107" t="str">
        <f t="shared" ca="1" si="35"/>
        <v>S</v>
      </c>
      <c r="D107">
        <f t="shared" ca="1" si="36"/>
        <v>0</v>
      </c>
      <c r="E107">
        <f ca="1">IF($C107=1,OFFSET(E107,-1,0)+MAX(1,COUNTIF(QCI!$A$13:$A$24,OFFSET(ORÇAMENTO!E107,-1,0))),OFFSET(E107,-1,0))</f>
        <v>3</v>
      </c>
      <c r="F107">
        <f t="shared" ca="1" si="37"/>
        <v>4</v>
      </c>
      <c r="G107">
        <f t="shared" ca="1" si="38"/>
        <v>0</v>
      </c>
      <c r="H107">
        <f t="shared" ca="1" si="39"/>
        <v>0</v>
      </c>
      <c r="I107">
        <f t="shared" ca="1" si="40"/>
        <v>3</v>
      </c>
      <c r="J107">
        <f t="shared" ca="1" si="41"/>
        <v>0</v>
      </c>
      <c r="K107">
        <f ca="1">IF(OR($C107="S",$C107=0),0,MATCH(OFFSET($D107,0,$C107)+IF($C107&lt;&gt;1,1,COUNTIF(QCI!$A$13:$A$24,ORÇAMENTO!E107)),OFFSET($D107,1,$C107,ROW($C$119)-ROW($C107)),0))</f>
        <v>0</v>
      </c>
      <c r="L107" s="116" t="str">
        <f t="shared" ca="1" si="42"/>
        <v>F</v>
      </c>
      <c r="M107" s="117" t="s">
        <v>199</v>
      </c>
      <c r="N107" s="118" t="str">
        <f t="shared" ca="1" si="43"/>
        <v>Serviço</v>
      </c>
      <c r="O107" s="119" t="str">
        <f t="shared" ca="1" si="44"/>
        <v>3.4.3.</v>
      </c>
      <c r="P107" s="120" t="s">
        <v>474</v>
      </c>
      <c r="Q107" s="121" t="s">
        <v>482</v>
      </c>
      <c r="R107" s="122" t="str">
        <f ca="1">IF($C107="S",REFERENCIA.Descricao,"(digite a descrição aqui)")</f>
        <v>Concreto asfáltico - faixa C-12,5 - areia e brita comerciais</v>
      </c>
      <c r="S107" s="123" t="str">
        <f ca="1">REFERENCIA.Unidade</f>
        <v>t</v>
      </c>
      <c r="T107" s="124">
        <f ca="1">OFFSET(CÁLCULO!H$15,ROW($T107)-ROW(T$15),0)</f>
        <v>391.68</v>
      </c>
      <c r="U107" s="125">
        <f t="shared" ca="1" si="49"/>
        <v>190.43</v>
      </c>
      <c r="V107" s="126" t="s">
        <v>156</v>
      </c>
      <c r="W107" s="124">
        <f ca="1">IF($C107="S",ROUND(IF(TIPOORCAMENTO="Proposto",ORÇAMENTO.CustoUnitario*(1+$AH107),ORÇAMENTO.PrecoUnitarioLicitado),15-13*$AF$10),0)</f>
        <v>234.95</v>
      </c>
      <c r="X107" s="127">
        <f ca="1">IF($C107="S",IF(Import.TipoArredondamento&lt;&gt;"TransfereGOV",VTOTAL1,SUM(OFFSET(CÁLCULO!$AA$15,ROW($X107)-ROW($X$15),1):OFFSET(CÁLCULO!$AL$15,ROW($X107)-ROW($X$15),-1))),IF($C107=0,0,ROUND(SomaAgrup,15-13*$AF$11)))</f>
        <v>92025.22</v>
      </c>
      <c r="Y107" s="128" t="s">
        <v>245</v>
      </c>
      <c r="Z107" t="str">
        <f t="shared" ca="1" si="45"/>
        <v>RA</v>
      </c>
      <c r="AA107" s="129">
        <f ca="1">IF($C107="S",IF($Z107="CP",$X107,IF($Z107="RA",(($X107)*QCI!$AA$3),0)),SomaAgrup)</f>
        <v>92025.22</v>
      </c>
      <c r="AB107" s="130">
        <f t="shared" ca="1" si="46"/>
        <v>0</v>
      </c>
      <c r="AC107" s="131" t="str">
        <f ca="1">IF($N107="","",IF(ORÇAMENTO.Descricao="","DESCRIÇÃO",IF(AND($C107="S",ORÇAMENTO.Unidade=""),"UNIDADE",IF($X107&lt;0,"VALOR NEGATIVO",IF(OR(AND(TIPOORCAMENTO="Proposto",$AG107&lt;&gt;"",$AG107&gt;0,ORÇAMENTO.CustoUnitario&gt;$AG107),AND(TIPOORCAMENTO="LICITADO",ORÇAMENTO.PrecoUnitarioLicitado&gt;$AN107)),"ACIMA REF.","")))))</f>
        <v/>
      </c>
      <c r="AD107" t="str">
        <f ca="1">IF(C107&lt;=CRONO.NivelExibicao,MAX($AD$15:OFFSET(AD107,-1,0))+IF($C107&lt;&gt;1,1,MAX(1,COUNTIF(QCI!$A$13:$A$24,OFFSET($E107,-1,0)))),"")</f>
        <v/>
      </c>
      <c r="AE107" s="7" t="str">
        <f ca="1">IF(AND($C107="S",ORÇAMENTO.CodBarra&lt;&gt;""),IF(ORÇAMENTO.Fonte="",ORÇAMENTO.CodBarra,CONCATENATE(ORÇAMENTO.Fonte," ",ORÇAMENTO.CodBarra)))</f>
        <v>SICRO 4011463</v>
      </c>
      <c r="AF107" s="13">
        <f ca="1">IF(ISERROR(INDIRECT(ORÇAMENTO.BancoRef)),"(abra o arquivo 'Referência "&amp;Excel_BuiltIn_Database&amp;".xlsm)",IF(OR($C107&lt;&gt;"S",ORÇAMENTO.CodBarra=""),"(Sem Código)",IF(ISERROR(MATCH($AE107,INDIRECT(ORÇAMENTO.BancoRef),0)),"(Código não identificado nas referências)",MATCH($AE107,INDIRECT(ORÇAMENTO.BancoRef),0))))</f>
        <v>20346</v>
      </c>
      <c r="AG107" s="498">
        <f ca="1">ROUND(IF(DESONERACAO="sim",REFERENCIA.Desonerado,REFERENCIA.NaoDesonerado),2)</f>
        <v>190.43</v>
      </c>
      <c r="AH107" s="499">
        <f t="shared" ca="1" si="47"/>
        <v>0.23380000000000001</v>
      </c>
      <c r="AJ107" s="501">
        <v>391.68</v>
      </c>
      <c r="AL107" s="527"/>
      <c r="AM107" s="381">
        <f t="shared" ca="1" si="32"/>
        <v>92025.22</v>
      </c>
      <c r="AN107" s="566">
        <f t="shared" ca="1" si="48"/>
        <v>234.95</v>
      </c>
    </row>
    <row r="108" spans="1:40" x14ac:dyDescent="0.2">
      <c r="A108" t="str">
        <f t="shared" si="33"/>
        <v>S</v>
      </c>
      <c r="B108">
        <f t="shared" ca="1" si="34"/>
        <v>2</v>
      </c>
      <c r="C108" t="str">
        <f t="shared" ca="1" si="35"/>
        <v>S</v>
      </c>
      <c r="D108">
        <f t="shared" ca="1" si="36"/>
        <v>0</v>
      </c>
      <c r="E108">
        <f ca="1">IF($C108=1,OFFSET(E108,-1,0)+MAX(1,COUNTIF(QCI!$A$13:$A$24,OFFSET(ORÇAMENTO!E108,-1,0))),OFFSET(E108,-1,0))</f>
        <v>3</v>
      </c>
      <c r="F108">
        <f t="shared" ca="1" si="37"/>
        <v>4</v>
      </c>
      <c r="G108">
        <f t="shared" ca="1" si="38"/>
        <v>0</v>
      </c>
      <c r="H108">
        <f t="shared" ca="1" si="39"/>
        <v>0</v>
      </c>
      <c r="I108">
        <f t="shared" ca="1" si="40"/>
        <v>4</v>
      </c>
      <c r="J108">
        <f t="shared" ca="1" si="41"/>
        <v>0</v>
      </c>
      <c r="K108">
        <f ca="1">IF(OR($C108="S",$C108=0),0,MATCH(OFFSET($D108,0,$C108)+IF($C108&lt;&gt;1,1,COUNTIF(QCI!$A$13:$A$24,ORÇAMENTO!E108)),OFFSET($D108,1,$C108,ROW($C$119)-ROW($C108)),0))</f>
        <v>0</v>
      </c>
      <c r="L108" s="116" t="str">
        <f t="shared" ca="1" si="42"/>
        <v>F</v>
      </c>
      <c r="M108" s="117" t="s">
        <v>199</v>
      </c>
      <c r="N108" s="118" t="str">
        <f t="shared" ca="1" si="43"/>
        <v>Serviço</v>
      </c>
      <c r="O108" s="119" t="str">
        <f t="shared" ca="1" si="44"/>
        <v>3.4.4.</v>
      </c>
      <c r="P108" s="120" t="s">
        <v>474</v>
      </c>
      <c r="Q108" s="121" t="s">
        <v>479</v>
      </c>
      <c r="R108" s="122" t="str">
        <f ca="1">IF($C108="S",REFERENCIA.Descricao,"(digite a descrição aqui)")</f>
        <v>Transporte com caminhão basculante de 10 m³ - rodovia pavimentada</v>
      </c>
      <c r="S108" s="123" t="str">
        <f ca="1">REFERENCIA.Unidade</f>
        <v>tkm</v>
      </c>
      <c r="T108" s="124">
        <f ca="1">OFFSET(CÁLCULO!H$15,ROW($T108)-ROW(T$15),0)</f>
        <v>11750.44</v>
      </c>
      <c r="U108" s="125">
        <f t="shared" ca="1" si="49"/>
        <v>0.82</v>
      </c>
      <c r="V108" s="126" t="s">
        <v>191</v>
      </c>
      <c r="W108" s="124">
        <f ca="1">IF($C108="S",ROUND(IF(TIPOORCAMENTO="Proposto",ORÇAMENTO.CustoUnitario*(1+$AH108),ORÇAMENTO.PrecoUnitarioLicitado),15-13*$AF$10),0)</f>
        <v>0.94</v>
      </c>
      <c r="X108" s="127">
        <f ca="1">IF($C108="S",IF(Import.TipoArredondamento&lt;&gt;"TransfereGOV",VTOTAL1,SUM(OFFSET(CÁLCULO!$AA$15,ROW($X108)-ROW($X$15),1):OFFSET(CÁLCULO!$AL$15,ROW($X108)-ROW($X$15),-1))),IF($C108=0,0,ROUND(SomaAgrup,15-13*$AF$11)))</f>
        <v>11045.41</v>
      </c>
      <c r="Y108" s="128" t="s">
        <v>245</v>
      </c>
      <c r="Z108" t="str">
        <f t="shared" ca="1" si="45"/>
        <v>RA</v>
      </c>
      <c r="AA108" s="129">
        <f ca="1">IF($C108="S",IF($Z108="CP",$X108,IF($Z108="RA",(($X108)*QCI!$AA$3),0)),SomaAgrup)</f>
        <v>11045.41</v>
      </c>
      <c r="AB108" s="130">
        <f t="shared" ca="1" si="46"/>
        <v>0</v>
      </c>
      <c r="AC108" s="131" t="str">
        <f ca="1">IF($N108="","",IF(ORÇAMENTO.Descricao="","DESCRIÇÃO",IF(AND($C108="S",ORÇAMENTO.Unidade=""),"UNIDADE",IF($X108&lt;0,"VALOR NEGATIVO",IF(OR(AND(TIPOORCAMENTO="Proposto",$AG108&lt;&gt;"",$AG108&gt;0,ORÇAMENTO.CustoUnitario&gt;$AG108),AND(TIPOORCAMENTO="LICITADO",ORÇAMENTO.PrecoUnitarioLicitado&gt;$AN108)),"ACIMA REF.","")))))</f>
        <v/>
      </c>
      <c r="AD108" t="str">
        <f ca="1">IF(C108&lt;=CRONO.NivelExibicao,MAX($AD$15:OFFSET(AD108,-1,0))+IF($C108&lt;&gt;1,1,MAX(1,COUNTIF(QCI!$A$13:$A$24,OFFSET($E108,-1,0)))),"")</f>
        <v/>
      </c>
      <c r="AE108" s="7" t="str">
        <f ca="1">IF(AND($C108="S",ORÇAMENTO.CodBarra&lt;&gt;""),IF(ORÇAMENTO.Fonte="",ORÇAMENTO.CodBarra,CONCATENATE(ORÇAMENTO.Fonte," ",ORÇAMENTO.CodBarra)))</f>
        <v>SICRO 5914389</v>
      </c>
      <c r="AF108" s="13">
        <f ca="1">IF(ISERROR(INDIRECT(ORÇAMENTO.BancoRef)),"(abra o arquivo 'Referência "&amp;Excel_BuiltIn_Database&amp;".xlsm)",IF(OR($C108&lt;&gt;"S",ORÇAMENTO.CodBarra=""),"(Sem Código)",IF(ISERROR(MATCH($AE108,INDIRECT(ORÇAMENTO.BancoRef),0)),"(Código não identificado nas referências)",MATCH($AE108,INDIRECT(ORÇAMENTO.BancoRef),0))))</f>
        <v>21855</v>
      </c>
      <c r="AG108" s="498">
        <f ca="1">ROUND(IF(DESONERACAO="sim",REFERENCIA.Desonerado,REFERENCIA.NaoDesonerado),2)</f>
        <v>0.82</v>
      </c>
      <c r="AH108" s="499">
        <f t="shared" ca="1" si="47"/>
        <v>0.15</v>
      </c>
      <c r="AJ108" s="501">
        <v>11750.44</v>
      </c>
      <c r="AL108" s="527"/>
      <c r="AM108" s="381">
        <f t="shared" ca="1" si="32"/>
        <v>11045.41</v>
      </c>
      <c r="AN108" s="566">
        <f t="shared" ca="1" si="48"/>
        <v>0.94</v>
      </c>
    </row>
    <row r="109" spans="1:40" s="577" customFormat="1" ht="38.25" x14ac:dyDescent="0.2">
      <c r="A109" s="577" t="str">
        <f>CHOOSE(1+LOG(1+2*(ORÇAMENTO.Nivel="Meta")+4*(ORÇAMENTO.Nivel="Nível 2")+8*(ORÇAMENTO.Nivel="Nível 3")+16*(ORÇAMENTO.Nivel="Nível 4")+32*(ORÇAMENTO.Nivel="Serviço"),2),0,1,2,3,4,"S")</f>
        <v>S</v>
      </c>
      <c r="B109" s="577">
        <f ca="1">IF(OR(C109="s",C109=0),OFFSET(B109,-1,0),C109)</f>
        <v>2</v>
      </c>
      <c r="C109" s="577" t="str">
        <f ca="1">IF(OFFSET(C109,-1,0)="L",1,IF(OFFSET(C109,-1,0)=1,2,IF(OR(A109="s",A109=0),"S",IF(AND(OFFSET(C109,-1,0)=2,A109=4),3,IF(AND(OR(OFFSET(C109,-1,0)="s",OFFSET(C109,-1,0)=0),A109&lt;&gt;"s",A109&gt;OFFSET(B109,-1,0)),OFFSET(B109,-1,0),A109)))))</f>
        <v>S</v>
      </c>
      <c r="D109" s="577">
        <f ca="1">IF(OR(C109="S",C109=0),0,IF(ISERROR(K109),J109,SMALL(J109:K109,1)))</f>
        <v>0</v>
      </c>
      <c r="E109" s="577">
        <f ca="1">IF($C109=1,OFFSET(E109,-1,0)+MAX(1,COUNTIF(QCI!$A$13:$A$24,OFFSET(ORÇAMENTO!E109,-1,0))),OFFSET(E109,-1,0))</f>
        <v>3</v>
      </c>
      <c r="F109" s="577">
        <f ca="1">IF($C109=1,0,IF($C109=2,OFFSET(F109,-1,0)+1,OFFSET(F109,-1,0)))</f>
        <v>4</v>
      </c>
      <c r="G109" s="577">
        <f ca="1">IF(AND($C109&lt;=2,$C109&lt;&gt;0),0,IF($C109=3,OFFSET(G109,-1,0)+1,OFFSET(G109,-1,0)))</f>
        <v>0</v>
      </c>
      <c r="H109" s="577">
        <f ca="1">IF(AND($C109&lt;=3,$C109&lt;&gt;0),0,IF($C109=4,OFFSET(H109,-1,0)+1,OFFSET(H109,-1,0)))</f>
        <v>0</v>
      </c>
      <c r="I109" s="577">
        <f ca="1">IF(AND($C109&lt;=4,$C109&lt;&gt;0),0,IF(AND($C109="S",$X109&gt;0),OFFSET(I109,-1,0)+1,OFFSET(I109,-1,0)))</f>
        <v>5</v>
      </c>
      <c r="J109" s="577">
        <f ca="1">IF(OR($C109="S",$C109=0),0,MATCH(0,OFFSET($D109,1,$C109,ROW($C$119)-ROW($C109)),0))</f>
        <v>0</v>
      </c>
      <c r="K109" s="577">
        <f ca="1">IF(OR($C109="S",$C109=0),0,MATCH(OFFSET($D109,0,$C109)+IF($C109&lt;&gt;1,1,COUNTIF(QCI!$A$13:$A$24,ORÇAMENTO!E109)),OFFSET($D109,1,$C109,ROW($C$119)-ROW($C109)),0))</f>
        <v>0</v>
      </c>
      <c r="L109" s="116" t="str">
        <f ca="1">IF(OR($X109&gt;0,$C109=1,$C109=2,$C109=3,$C109=4),"F","")</f>
        <v>F</v>
      </c>
      <c r="M109" s="117" t="s">
        <v>199</v>
      </c>
      <c r="N109" s="118" t="str">
        <f ca="1">CHOOSE(1+LOG(1+2*(C109=1)+4*(C109=2)+8*(C109=3)+16*(C109=4)+32*(C109="S"),2),"","Meta","Nível 2","Nível 3","Nível 4","Serviço")</f>
        <v>Serviço</v>
      </c>
      <c r="O109" s="119" t="str">
        <f ca="1">IF(OR($C109=0,$L109=""),"-",CONCATENATE(E109&amp;".",IF(AND($A$5&gt;=2,$C109&gt;=2),F109&amp;".",""),IF(AND($A$5&gt;=3,$C109&gt;=3),G109&amp;".",""),IF(AND($A$5&gt;=4,$C109&gt;=4),H109&amp;".",""),IF($C109="S",I109&amp;".","")))</f>
        <v>3.4.5.</v>
      </c>
      <c r="P109" s="120" t="s">
        <v>474</v>
      </c>
      <c r="Q109" s="121" t="s">
        <v>501</v>
      </c>
      <c r="R109" s="122" t="str">
        <f ca="1">IF($C109="S",REFERENCIA.Descricao,"(digite a descrição aqui)")</f>
        <v>Carga, manobra e descarga de concreto asfáltico com borracha em caminhão basculante de 10 m³ - carga em usina de asfalto 100/140 t/h e descarga em vibroacabadora</v>
      </c>
      <c r="S109" s="123" t="str">
        <f ca="1">REFERENCIA.Unidade</f>
        <v>t</v>
      </c>
      <c r="T109" s="124">
        <f ca="1">OFFSET(CÁLCULO!H$15,ROW($T109)-ROW(T$15),0)</f>
        <v>391.68</v>
      </c>
      <c r="U109" s="125">
        <f t="shared" ca="1" si="49"/>
        <v>9.09</v>
      </c>
      <c r="V109" s="126" t="s">
        <v>156</v>
      </c>
      <c r="W109" s="124">
        <f ca="1">IF($C109="S",ROUND(IF(TIPOORCAMENTO="Proposto",ORÇAMENTO.CustoUnitario*(1+$AH109),ORÇAMENTO.PrecoUnitarioLicitado),15-13*$AF$10),0)</f>
        <v>11.22</v>
      </c>
      <c r="X109" s="127">
        <f ca="1">IF($C109="S",IF(Import.TipoArredondamento&lt;&gt;"TransfereGOV",VTOTAL1,SUM(OFFSET(CÁLCULO!$AA$15,ROW($X109)-ROW($X$15),1):OFFSET(CÁLCULO!$AL$15,ROW($X109)-ROW($X$15),-1))),IF($C109=0,0,ROUND(SomaAgrup,15-13*$AF$11)))</f>
        <v>4394.6499999999996</v>
      </c>
      <c r="Y109" s="128" t="s">
        <v>245</v>
      </c>
      <c r="Z109" s="577" t="str">
        <f ca="1">IF(AND($C109="S",$X109&gt;0),IF(ISBLANK($Y109),"RA",LEFT($Y109,2)),"")</f>
        <v>RA</v>
      </c>
      <c r="AA109" s="129">
        <f ca="1">IF($C109="S",IF($Z109="CP",$X109,IF($Z109="RA",(($X109)*QCI!$AA$3),0)),SomaAgrup)</f>
        <v>4394.6499999999996</v>
      </c>
      <c r="AB109" s="130">
        <f ca="1">IF($C109="S",IF($Z109="OU",ROUND($X109,2),0),SomaAgrup)</f>
        <v>0</v>
      </c>
      <c r="AC109" s="131" t="str">
        <f ca="1">IF($N109="","",IF(ORÇAMENTO.Descricao="","DESCRIÇÃO",IF(AND($C109="S",ORÇAMENTO.Unidade=""),"UNIDADE",IF($X109&lt;0,"VALOR NEGATIVO",IF(OR(AND(TIPOORCAMENTO="Proposto",$AG109&lt;&gt;"",$AG109&gt;0,ORÇAMENTO.CustoUnitario&gt;$AG109),AND(TIPOORCAMENTO="LICITADO",ORÇAMENTO.PrecoUnitarioLicitado&gt;$AN109)),"ACIMA REF.","")))))</f>
        <v/>
      </c>
      <c r="AD109" s="577" t="str">
        <f ca="1">IF(C109&lt;=CRONO.NivelExibicao,MAX($AD$15:OFFSET(AD109,-1,0))+IF($C109&lt;&gt;1,1,MAX(1,COUNTIF(QCI!$A$13:$A$24,OFFSET($E109,-1,0)))),"")</f>
        <v/>
      </c>
      <c r="AE109" s="7" t="str">
        <f ca="1">IF(AND($C109="S",ORÇAMENTO.CodBarra&lt;&gt;""),IF(ORÇAMENTO.Fonte="",ORÇAMENTO.CodBarra,CONCATENATE(ORÇAMENTO.Fonte," ",ORÇAMENTO.CodBarra)))</f>
        <v>SICRO 5914646</v>
      </c>
      <c r="AF109" s="576">
        <f ca="1">IF(ISERROR(INDIRECT(ORÇAMENTO.BancoRef)),"(abra o arquivo 'Referência "&amp;Excel_BuiltIn_Database&amp;".xlsm)",IF(OR($C109&lt;&gt;"S",ORÇAMENTO.CodBarra=""),"(Sem Código)",IF(ISERROR(MATCH($AE109,INDIRECT(ORÇAMENTO.BancoRef),0)),"(Código não identificado nas referências)",MATCH($AE109,INDIRECT(ORÇAMENTO.BancoRef),0))))</f>
        <v>21777</v>
      </c>
      <c r="AG109" s="498">
        <f ca="1">ROUND(IF(DESONERACAO="sim",REFERENCIA.Desonerado,REFERENCIA.NaoDesonerado),2)</f>
        <v>9.09</v>
      </c>
      <c r="AH109" s="499">
        <f ca="1">ROUND(IF(ISNUMBER(ORÇAMENTO.OpcaoBDI),ORÇAMENTO.OpcaoBDI,IF(LEFT(ORÇAMENTO.OpcaoBDI,3)="BDI",HLOOKUP(ORÇAMENTO.OpcaoBDI,$F$4:$H$5,2,FALSE),0)),15-11*$AF$9)</f>
        <v>0.23380000000000001</v>
      </c>
      <c r="AJ109" s="501">
        <v>391.68</v>
      </c>
      <c r="AL109" s="527"/>
      <c r="AM109" s="381">
        <f t="shared" ca="1" si="32"/>
        <v>4394.6499999999996</v>
      </c>
      <c r="AN109" s="566">
        <f ca="1">ROUND(ORÇAMENTO.CustoUnitario*(1+$AH109),2)</f>
        <v>11.22</v>
      </c>
    </row>
    <row r="110" spans="1:40" s="577" customFormat="1" ht="25.5" x14ac:dyDescent="0.2">
      <c r="A110" s="577" t="str">
        <f t="shared" si="33"/>
        <v>S</v>
      </c>
      <c r="B110" s="577">
        <f t="shared" ca="1" si="34"/>
        <v>2</v>
      </c>
      <c r="C110" s="577" t="str">
        <f t="shared" ca="1" si="35"/>
        <v>S</v>
      </c>
      <c r="D110" s="577">
        <f t="shared" ca="1" si="36"/>
        <v>0</v>
      </c>
      <c r="E110" s="577">
        <f ca="1">IF($C110=1,OFFSET(E110,-1,0)+MAX(1,COUNTIF(QCI!$A$13:$A$24,OFFSET(ORÇAMENTO!E110,-1,0))),OFFSET(E110,-1,0))</f>
        <v>3</v>
      </c>
      <c r="F110" s="577">
        <f t="shared" ca="1" si="37"/>
        <v>4</v>
      </c>
      <c r="G110" s="577">
        <f t="shared" ca="1" si="38"/>
        <v>0</v>
      </c>
      <c r="H110" s="577">
        <f t="shared" ca="1" si="39"/>
        <v>0</v>
      </c>
      <c r="I110" s="577">
        <f t="shared" ca="1" si="40"/>
        <v>6</v>
      </c>
      <c r="J110" s="577">
        <f t="shared" ca="1" si="41"/>
        <v>0</v>
      </c>
      <c r="K110" s="577">
        <f ca="1">IF(OR($C110="S",$C110=0),0,MATCH(OFFSET($D110,0,$C110)+IF($C110&lt;&gt;1,1,COUNTIF(QCI!$A$13:$A$24,ORÇAMENTO!E110)),OFFSET($D110,1,$C110,ROW($C$119)-ROW($C110)),0))</f>
        <v>0</v>
      </c>
      <c r="L110" s="116" t="str">
        <f t="shared" ca="1" si="42"/>
        <v>F</v>
      </c>
      <c r="M110" s="117" t="s">
        <v>199</v>
      </c>
      <c r="N110" s="118" t="str">
        <f t="shared" ca="1" si="43"/>
        <v>Serviço</v>
      </c>
      <c r="O110" s="119" t="str">
        <f t="shared" ca="1" si="44"/>
        <v>3.4.6.</v>
      </c>
      <c r="P110" s="120" t="s">
        <v>483</v>
      </c>
      <c r="Q110" s="121" t="s">
        <v>484</v>
      </c>
      <c r="R110" s="122" t="str">
        <f ca="1">IF($C110="S",REFERENCIA.Descricao,"(digite a descrição aqui)")</f>
        <v xml:space="preserve">CIMENTO ASFÁLTICO CAP 50/70 (Base de preço: ANP CAP 50/70 + ICMS (17%) + PIS (0,65%) + COFINS (3%) </v>
      </c>
      <c r="S110" s="123" t="str">
        <f ca="1">REFERENCIA.Unidade</f>
        <v>TON</v>
      </c>
      <c r="T110" s="124">
        <f ca="1">OFFSET(CÁLCULO!H$15,ROW($T110)-ROW(T$15),0)</f>
        <v>21.71</v>
      </c>
      <c r="U110" s="125">
        <f t="shared" ca="1" si="49"/>
        <v>4645.1099999999997</v>
      </c>
      <c r="V110" s="126" t="s">
        <v>191</v>
      </c>
      <c r="W110" s="124">
        <f ca="1">IF($C110="S",ROUND(IF(TIPOORCAMENTO="Proposto",ORÇAMENTO.CustoUnitario*(1+$AH110),ORÇAMENTO.PrecoUnitarioLicitado),15-13*$AF$10),0)</f>
        <v>5341.88</v>
      </c>
      <c r="X110" s="127">
        <f ca="1">IF($C110="S",IF(Import.TipoArredondamento&lt;&gt;"TransfereGOV",VTOTAL1,SUM(OFFSET(CÁLCULO!$AA$15,ROW($X110)-ROW($X$15),1):OFFSET(CÁLCULO!$AL$15,ROW($X110)-ROW($X$15),-1))),IF($C110=0,0,ROUND(SomaAgrup,15-13*$AF$11)))</f>
        <v>115972.21</v>
      </c>
      <c r="Y110" s="128" t="s">
        <v>245</v>
      </c>
      <c r="Z110" s="577" t="str">
        <f t="shared" ca="1" si="45"/>
        <v>RA</v>
      </c>
      <c r="AA110" s="129">
        <f ca="1">IF($C110="S",IF($Z110="CP",$X110,IF($Z110="RA",(($X110)*QCI!$AA$3),0)),SomaAgrup)</f>
        <v>115972.21</v>
      </c>
      <c r="AB110" s="130">
        <f t="shared" ca="1" si="46"/>
        <v>0</v>
      </c>
      <c r="AC110" s="131" t="str">
        <f ca="1">IF($N110="","",IF(ORÇAMENTO.Descricao="","DESCRIÇÃO",IF(AND($C110="S",ORÇAMENTO.Unidade=""),"UNIDADE",IF($X110&lt;0,"VALOR NEGATIVO",IF(OR(AND(TIPOORCAMENTO="Proposto",$AG110&lt;&gt;"",$AG110&gt;0,ORÇAMENTO.CustoUnitario&gt;$AG110),AND(TIPOORCAMENTO="LICITADO",ORÇAMENTO.PrecoUnitarioLicitado&gt;$AN110)),"ACIMA REF.","")))))</f>
        <v/>
      </c>
      <c r="AD110" s="577" t="str">
        <f ca="1">IF(C110&lt;=CRONO.NivelExibicao,MAX($AD$15:OFFSET(AD110,-1,0))+IF($C110&lt;&gt;1,1,MAX(1,COUNTIF(QCI!$A$13:$A$24,OFFSET($E110,-1,0)))),"")</f>
        <v/>
      </c>
      <c r="AE110" s="7" t="str">
        <f ca="1">IF(AND($C110="S",ORÇAMENTO.CodBarra&lt;&gt;""),IF(ORÇAMENTO.Fonte="",ORÇAMENTO.CodBarra,CONCATENATE(ORÇAMENTO.Fonte," ",ORÇAMENTO.CodBarra)))</f>
        <v>Cotação 01</v>
      </c>
      <c r="AF110" s="576">
        <f ca="1">IF(ISERROR(INDIRECT(ORÇAMENTO.BancoRef)),"(abra o arquivo 'Referência "&amp;Excel_BuiltIn_Database&amp;".xlsm)",IF(OR($C110&lt;&gt;"S",ORÇAMENTO.CodBarra=""),"(Sem Código)",IF(ISERROR(MATCH($AE110,INDIRECT(ORÇAMENTO.BancoRef),0)),"(Código não identificado nas referências)",MATCH($AE110,INDIRECT(ORÇAMENTO.BancoRef),0))))</f>
        <v>9</v>
      </c>
      <c r="AG110" s="498">
        <f ca="1">ROUND(IF(DESONERACAO="sim",REFERENCIA.Desonerado,REFERENCIA.NaoDesonerado),2)</f>
        <v>4645.1099999999997</v>
      </c>
      <c r="AH110" s="499">
        <f t="shared" ca="1" si="47"/>
        <v>0.15</v>
      </c>
      <c r="AJ110" s="501">
        <v>21.71</v>
      </c>
      <c r="AL110" s="527"/>
      <c r="AM110" s="381">
        <f t="shared" ca="1" si="32"/>
        <v>115972.21</v>
      </c>
      <c r="AN110" s="566">
        <f t="shared" ca="1" si="48"/>
        <v>5341.88</v>
      </c>
    </row>
    <row r="111" spans="1:40" s="577" customFormat="1" ht="25.5" x14ac:dyDescent="0.2">
      <c r="A111" s="577" t="str">
        <f t="shared" si="33"/>
        <v>S</v>
      </c>
      <c r="B111" s="577">
        <f t="shared" ca="1" si="34"/>
        <v>2</v>
      </c>
      <c r="C111" s="577" t="str">
        <f t="shared" ca="1" si="35"/>
        <v>S</v>
      </c>
      <c r="D111" s="577">
        <f t="shared" ca="1" si="36"/>
        <v>0</v>
      </c>
      <c r="E111" s="577">
        <f ca="1">IF($C111=1,OFFSET(E111,-1,0)+MAX(1,COUNTIF(QCI!$A$13:$A$24,OFFSET(ORÇAMENTO!E111,-1,0))),OFFSET(E111,-1,0))</f>
        <v>3</v>
      </c>
      <c r="F111" s="577">
        <f t="shared" ca="1" si="37"/>
        <v>4</v>
      </c>
      <c r="G111" s="577">
        <f t="shared" ca="1" si="38"/>
        <v>0</v>
      </c>
      <c r="H111" s="577">
        <f t="shared" ca="1" si="39"/>
        <v>0</v>
      </c>
      <c r="I111" s="577">
        <f t="shared" ca="1" si="40"/>
        <v>7</v>
      </c>
      <c r="J111" s="577">
        <f t="shared" ca="1" si="41"/>
        <v>0</v>
      </c>
      <c r="K111" s="577">
        <f ca="1">IF(OR($C111="S",$C111=0),0,MATCH(OFFSET($D111,0,$C111)+IF($C111&lt;&gt;1,1,COUNTIF(QCI!$A$13:$A$24,ORÇAMENTO!E111)),OFFSET($D111,1,$C111,ROW($C$119)-ROW($C111)),0))</f>
        <v>0</v>
      </c>
      <c r="L111" s="116" t="str">
        <f t="shared" ca="1" si="42"/>
        <v>F</v>
      </c>
      <c r="M111" s="117" t="s">
        <v>199</v>
      </c>
      <c r="N111" s="118" t="str">
        <f t="shared" ca="1" si="43"/>
        <v>Serviço</v>
      </c>
      <c r="O111" s="119" t="str">
        <f t="shared" ca="1" si="44"/>
        <v>3.4.7.</v>
      </c>
      <c r="P111" s="120" t="s">
        <v>483</v>
      </c>
      <c r="Q111" s="121" t="s">
        <v>485</v>
      </c>
      <c r="R111" s="122" t="str">
        <f ca="1">IF($C111="S",REFERENCIA.Descricao,"(digite a descrição aqui)")</f>
        <v xml:space="preserve">EMULSÃO ASFÁLTICA RR-2C ( Base de preço: ANP EMULSÃO RR-2C + ICMS (17%) + PIS (0,65%) + COFINS (3%) </v>
      </c>
      <c r="S111" s="123" t="str">
        <f ca="1">REFERENCIA.Unidade</f>
        <v>LITRO</v>
      </c>
      <c r="T111" s="124">
        <f ca="1">OFFSET(CÁLCULO!H$15,ROW($T111)-ROW(T$15),0)</f>
        <v>2224.88</v>
      </c>
      <c r="U111" s="125">
        <f t="shared" ca="1" si="49"/>
        <v>3.83</v>
      </c>
      <c r="V111" s="126" t="s">
        <v>191</v>
      </c>
      <c r="W111" s="124">
        <f ca="1">IF($C111="S",ROUND(IF(TIPOORCAMENTO="Proposto",ORÇAMENTO.CustoUnitario*(1+$AH111),ORÇAMENTO.PrecoUnitarioLicitado),15-13*$AF$10),0)</f>
        <v>4.4000000000000004</v>
      </c>
      <c r="X111" s="127">
        <f ca="1">IF($C111="S",IF(Import.TipoArredondamento&lt;&gt;"TransfereGOV",VTOTAL1,SUM(OFFSET(CÁLCULO!$AA$15,ROW($X111)-ROW($X$15),1):OFFSET(CÁLCULO!$AL$15,ROW($X111)-ROW($X$15),-1))),IF($C111=0,0,ROUND(SomaAgrup,15-13*$AF$11)))</f>
        <v>9789.4699999999993</v>
      </c>
      <c r="Y111" s="128" t="s">
        <v>245</v>
      </c>
      <c r="Z111" s="577" t="str">
        <f t="shared" ca="1" si="45"/>
        <v>RA</v>
      </c>
      <c r="AA111" s="129">
        <f ca="1">IF($C111="S",IF($Z111="CP",$X111,IF($Z111="RA",(($X111)*QCI!$AA$3),0)),SomaAgrup)</f>
        <v>9789.4699999999993</v>
      </c>
      <c r="AB111" s="130">
        <f t="shared" ca="1" si="46"/>
        <v>0</v>
      </c>
      <c r="AC111" s="131" t="str">
        <f ca="1">IF($N111="","",IF(ORÇAMENTO.Descricao="","DESCRIÇÃO",IF(AND($C111="S",ORÇAMENTO.Unidade=""),"UNIDADE",IF($X111&lt;0,"VALOR NEGATIVO",IF(OR(AND(TIPOORCAMENTO="Proposto",$AG111&lt;&gt;"",$AG111&gt;0,ORÇAMENTO.CustoUnitario&gt;$AG111),AND(TIPOORCAMENTO="LICITADO",ORÇAMENTO.PrecoUnitarioLicitado&gt;$AN111)),"ACIMA REF.","")))))</f>
        <v/>
      </c>
      <c r="AD111" s="577" t="str">
        <f ca="1">IF(C111&lt;=CRONO.NivelExibicao,MAX($AD$15:OFFSET(AD111,-1,0))+IF($C111&lt;&gt;1,1,MAX(1,COUNTIF(QCI!$A$13:$A$24,OFFSET($E111,-1,0)))),"")</f>
        <v/>
      </c>
      <c r="AE111" s="7" t="str">
        <f ca="1">IF(AND($C111="S",ORÇAMENTO.CodBarra&lt;&gt;""),IF(ORÇAMENTO.Fonte="",ORÇAMENTO.CodBarra,CONCATENATE(ORÇAMENTO.Fonte," ",ORÇAMENTO.CodBarra)))</f>
        <v>Cotação 02</v>
      </c>
      <c r="AF111" s="576">
        <f ca="1">IF(ISERROR(INDIRECT(ORÇAMENTO.BancoRef)),"(abra o arquivo 'Referência "&amp;Excel_BuiltIn_Database&amp;".xlsm)",IF(OR($C111&lt;&gt;"S",ORÇAMENTO.CodBarra=""),"(Sem Código)",IF(ISERROR(MATCH($AE111,INDIRECT(ORÇAMENTO.BancoRef),0)),"(Código não identificado nas referências)",MATCH($AE111,INDIRECT(ORÇAMENTO.BancoRef),0))))</f>
        <v>10</v>
      </c>
      <c r="AG111" s="498">
        <f ca="1">ROUND(IF(DESONERACAO="sim",REFERENCIA.Desonerado,REFERENCIA.NaoDesonerado),2)</f>
        <v>3.83</v>
      </c>
      <c r="AH111" s="499">
        <f t="shared" ca="1" si="47"/>
        <v>0.15</v>
      </c>
      <c r="AJ111" s="501">
        <v>2224.88</v>
      </c>
      <c r="AL111" s="527"/>
      <c r="AM111" s="381">
        <f t="shared" ca="1" si="32"/>
        <v>9789.4699999999993</v>
      </c>
      <c r="AN111" s="566">
        <f t="shared" ca="1" si="48"/>
        <v>4.4000000000000004</v>
      </c>
    </row>
    <row r="112" spans="1:40" s="577" customFormat="1" ht="25.5" x14ac:dyDescent="0.2">
      <c r="A112" s="577" t="str">
        <f t="shared" si="33"/>
        <v>S</v>
      </c>
      <c r="B112" s="577">
        <f t="shared" ca="1" si="34"/>
        <v>2</v>
      </c>
      <c r="C112" s="577" t="str">
        <f t="shared" ca="1" si="35"/>
        <v>S</v>
      </c>
      <c r="D112" s="577">
        <f t="shared" ca="1" si="36"/>
        <v>0</v>
      </c>
      <c r="E112" s="577">
        <f ca="1">IF($C112=1,OFFSET(E112,-1,0)+MAX(1,COUNTIF(QCI!$A$13:$A$24,OFFSET(ORÇAMENTO!E112,-1,0))),OFFSET(E112,-1,0))</f>
        <v>3</v>
      </c>
      <c r="F112" s="577">
        <f t="shared" ca="1" si="37"/>
        <v>4</v>
      </c>
      <c r="G112" s="577">
        <f t="shared" ca="1" si="38"/>
        <v>0</v>
      </c>
      <c r="H112" s="577">
        <f t="shared" ca="1" si="39"/>
        <v>0</v>
      </c>
      <c r="I112" s="577">
        <f t="shared" ca="1" si="40"/>
        <v>8</v>
      </c>
      <c r="J112" s="577">
        <f t="shared" ca="1" si="41"/>
        <v>0</v>
      </c>
      <c r="K112" s="577">
        <f ca="1">IF(OR($C112="S",$C112=0),0,MATCH(OFFSET($D112,0,$C112)+IF($C112&lt;&gt;1,1,COUNTIF(QCI!$A$13:$A$24,ORÇAMENTO!E112)),OFFSET($D112,1,$C112,ROW($C$119)-ROW($C112)),0))</f>
        <v>0</v>
      </c>
      <c r="L112" s="116" t="str">
        <f t="shared" ca="1" si="42"/>
        <v>F</v>
      </c>
      <c r="M112" s="117" t="s">
        <v>199</v>
      </c>
      <c r="N112" s="118" t="str">
        <f t="shared" ca="1" si="43"/>
        <v>Serviço</v>
      </c>
      <c r="O112" s="119" t="str">
        <f t="shared" ca="1" si="44"/>
        <v>3.4.8.</v>
      </c>
      <c r="P112" s="120" t="s">
        <v>474</v>
      </c>
      <c r="Q112" s="121" t="s">
        <v>486</v>
      </c>
      <c r="R112" s="122" t="str">
        <f ca="1">IF($C112="S",REFERENCIA.Descricao,"(digite a descrição aqui)")</f>
        <v>Transporte de material betuminoso com caminhão tanque distribuidor - rodovia pavimentada</v>
      </c>
      <c r="S112" s="123" t="str">
        <f ca="1">REFERENCIA.Unidade</f>
        <v>tkm</v>
      </c>
      <c r="T112" s="124">
        <f ca="1">OFFSET(CÁLCULO!H$15,ROW($T112)-ROW(T$15),0)</f>
        <v>11486.4</v>
      </c>
      <c r="U112" s="125">
        <f t="shared" ca="1" si="49"/>
        <v>2.2200000000000002</v>
      </c>
      <c r="V112" s="126" t="s">
        <v>191</v>
      </c>
      <c r="W112" s="124">
        <f ca="1">IF($C112="S",ROUND(IF(TIPOORCAMENTO="Proposto",ORÇAMENTO.CustoUnitario*(1+$AH112),ORÇAMENTO.PrecoUnitarioLicitado),15-13*$AF$10),0)</f>
        <v>2.5499999999999998</v>
      </c>
      <c r="X112" s="127">
        <f ca="1">IF($C112="S",IF(Import.TipoArredondamento&lt;&gt;"TransfereGOV",VTOTAL1,SUM(OFFSET(CÁLCULO!$AA$15,ROW($X112)-ROW($X$15),1):OFFSET(CÁLCULO!$AL$15,ROW($X112)-ROW($X$15),-1))),IF($C112=0,0,ROUND(SomaAgrup,15-13*$AF$11)))</f>
        <v>29290.32</v>
      </c>
      <c r="Y112" s="128" t="s">
        <v>245</v>
      </c>
      <c r="Z112" s="577" t="str">
        <f t="shared" ca="1" si="45"/>
        <v>RA</v>
      </c>
      <c r="AA112" s="129">
        <f ca="1">IF($C112="S",IF($Z112="CP",$X112,IF($Z112="RA",(($X112)*QCI!$AA$3),0)),SomaAgrup)</f>
        <v>29290.32</v>
      </c>
      <c r="AB112" s="130">
        <f t="shared" ca="1" si="46"/>
        <v>0</v>
      </c>
      <c r="AC112" s="131" t="str">
        <f ca="1">IF($N112="","",IF(ORÇAMENTO.Descricao="","DESCRIÇÃO",IF(AND($C112="S",ORÇAMENTO.Unidade=""),"UNIDADE",IF($X112&lt;0,"VALOR NEGATIVO",IF(OR(AND(TIPOORCAMENTO="Proposto",$AG112&lt;&gt;"",$AG112&gt;0,ORÇAMENTO.CustoUnitario&gt;$AG112),AND(TIPOORCAMENTO="LICITADO",ORÇAMENTO.PrecoUnitarioLicitado&gt;$AN112)),"ACIMA REF.","")))))</f>
        <v/>
      </c>
      <c r="AD112" s="577" t="str">
        <f ca="1">IF(C112&lt;=CRONO.NivelExibicao,MAX($AD$15:OFFSET(AD112,-1,0))+IF($C112&lt;&gt;1,1,MAX(1,COUNTIF(QCI!$A$13:$A$24,OFFSET($E112,-1,0)))),"")</f>
        <v/>
      </c>
      <c r="AE112" s="7" t="str">
        <f ca="1">IF(AND($C112="S",ORÇAMENTO.CodBarra&lt;&gt;""),IF(ORÇAMENTO.Fonte="",ORÇAMENTO.CodBarra,CONCATENATE(ORÇAMENTO.Fonte," ",ORÇAMENTO.CodBarra)))</f>
        <v>SICRO 5914622</v>
      </c>
      <c r="AF112" s="576">
        <f ca="1">IF(ISERROR(INDIRECT(ORÇAMENTO.BancoRef)),"(abra o arquivo 'Referência "&amp;Excel_BuiltIn_Database&amp;".xlsm)",IF(OR($C112&lt;&gt;"S",ORÇAMENTO.CodBarra=""),"(Sem Código)",IF(ISERROR(MATCH($AE112,INDIRECT(ORÇAMENTO.BancoRef),0)),"(Código não identificado nas referências)",MATCH($AE112,INDIRECT(ORÇAMENTO.BancoRef),0))))</f>
        <v>21984</v>
      </c>
      <c r="AG112" s="498">
        <f ca="1">ROUND(IF(DESONERACAO="sim",REFERENCIA.Desonerado,REFERENCIA.NaoDesonerado),2)</f>
        <v>2.2200000000000002</v>
      </c>
      <c r="AH112" s="499">
        <f t="shared" ca="1" si="47"/>
        <v>0.15</v>
      </c>
      <c r="AJ112" s="501">
        <v>11486.4</v>
      </c>
      <c r="AL112" s="527"/>
      <c r="AM112" s="381">
        <f t="shared" ca="1" si="32"/>
        <v>29290.32</v>
      </c>
      <c r="AN112" s="566">
        <f t="shared" ca="1" si="48"/>
        <v>2.5499999999999998</v>
      </c>
    </row>
    <row r="113" spans="1:40" x14ac:dyDescent="0.2">
      <c r="A113">
        <f t="shared" si="33"/>
        <v>2</v>
      </c>
      <c r="B113">
        <f t="shared" ca="1" si="34"/>
        <v>2</v>
      </c>
      <c r="C113">
        <f t="shared" ca="1" si="35"/>
        <v>2</v>
      </c>
      <c r="D113">
        <f t="shared" ca="1" si="36"/>
        <v>6</v>
      </c>
      <c r="E113">
        <f ca="1">IF($C113=1,OFFSET(E113,-1,0)+MAX(1,COUNTIF(QCI!$A$13:$A$24,OFFSET(ORÇAMENTO!E113,-1,0))),OFFSET(E113,-1,0))</f>
        <v>3</v>
      </c>
      <c r="F113">
        <f t="shared" ca="1" si="37"/>
        <v>5</v>
      </c>
      <c r="G113">
        <f t="shared" ca="1" si="38"/>
        <v>0</v>
      </c>
      <c r="H113">
        <f t="shared" ca="1" si="39"/>
        <v>0</v>
      </c>
      <c r="I113">
        <f t="shared" ca="1" si="40"/>
        <v>0</v>
      </c>
      <c r="J113">
        <f t="shared" ca="1" si="41"/>
        <v>6</v>
      </c>
      <c r="K113" t="e">
        <f ca="1">IF(OR($C113="S",$C113=0),0,MATCH(OFFSET($D113,0,$C113)+IF($C113&lt;&gt;1,1,COUNTIF(QCI!$A$13:$A$24,ORÇAMENTO!E113)),OFFSET($D113,1,$C113,ROW($C$119)-ROW($C113)),0))</f>
        <v>#N/A</v>
      </c>
      <c r="L113" s="116" t="str">
        <f t="shared" ca="1" si="42"/>
        <v>F</v>
      </c>
      <c r="M113" s="117" t="s">
        <v>196</v>
      </c>
      <c r="N113" s="118" t="str">
        <f t="shared" ca="1" si="43"/>
        <v>Nível 2</v>
      </c>
      <c r="O113" s="119" t="str">
        <f t="shared" ca="1" si="44"/>
        <v>3.5.</v>
      </c>
      <c r="P113" s="120" t="s">
        <v>247</v>
      </c>
      <c r="Q113" s="121"/>
      <c r="R113" s="122" t="s">
        <v>455</v>
      </c>
      <c r="S113" s="123" t="str">
        <f ca="1">REFERENCIA.Unidade</f>
        <v>-</v>
      </c>
      <c r="T113" s="124">
        <f ca="1">OFFSET(CÁLCULO!H$15,ROW($T113)-ROW(T$15),0)</f>
        <v>0</v>
      </c>
      <c r="U113" s="125">
        <f t="shared" ca="1" si="49"/>
        <v>0</v>
      </c>
      <c r="V113" s="126" t="s">
        <v>156</v>
      </c>
      <c r="W113" s="124">
        <f ca="1">IF($C113="S",ROUND(IF(TIPOORCAMENTO="Proposto",ORÇAMENTO.CustoUnitario*(1+$AH113),ORÇAMENTO.PrecoUnitarioLicitado),15-13*$AF$10),0)</f>
        <v>0</v>
      </c>
      <c r="X113" s="127">
        <f ca="1">IF($C113="S",IF(Import.TipoArredondamento&lt;&gt;"TransfereGOV",VTOTAL1,SUM(OFFSET(CÁLCULO!$AA$15,ROW($X113)-ROW($X$15),1):OFFSET(CÁLCULO!$AL$15,ROW($X113)-ROW($X$15),-1))),IF($C113=0,0,ROUND(SomaAgrup,15-13*$AF$11)))</f>
        <v>9427.4699999999993</v>
      </c>
      <c r="Y113" s="128" t="s">
        <v>245</v>
      </c>
      <c r="Z113" t="str">
        <f t="shared" ca="1" si="45"/>
        <v/>
      </c>
      <c r="AA113" s="129">
        <f ca="1">IF($C113="S",IF($Z113="CP",$X113,IF($Z113="RA",(($X113)*QCI!$AA$3),0)),SomaAgrup)</f>
        <v>9427.4699999999993</v>
      </c>
      <c r="AB113" s="130">
        <f t="shared" ca="1" si="46"/>
        <v>0</v>
      </c>
      <c r="AC113" s="131" t="str">
        <f ca="1">IF($N113="","",IF(ORÇAMENTO.Descricao="","DESCRIÇÃO",IF(AND($C113="S",ORÇAMENTO.Unidade=""),"UNIDADE",IF($X113&lt;0,"VALOR NEGATIVO",IF(OR(AND(TIPOORCAMENTO="Proposto",$AG113&lt;&gt;"",$AG113&gt;0,ORÇAMENTO.CustoUnitario&gt;$AG113),AND(TIPOORCAMENTO="LICITADO",ORÇAMENTO.PrecoUnitarioLicitado&gt;$AN113)),"ACIMA REF.","")))))</f>
        <v/>
      </c>
      <c r="AD113">
        <f ca="1">IF(C113&lt;=CRONO.NivelExibicao,MAX($AD$15:OFFSET(AD113,-1,0))+IF($C113&lt;&gt;1,1,MAX(1,COUNTIF(QCI!$A$13:$A$24,OFFSET($E113,-1,0)))),"")</f>
        <v>18</v>
      </c>
      <c r="AE113" s="7" t="b">
        <f ca="1">IF(AND($C113="S",ORÇAMENTO.CodBarra&lt;&gt;""),IF(ORÇAMENTO.Fonte="",ORÇAMENTO.CodBarra,CONCATENATE(ORÇAMENTO.Fonte," ",ORÇAMENTO.CodBarra)))</f>
        <v>0</v>
      </c>
      <c r="AF113" s="13" t="str">
        <f ca="1">IF(ISERROR(INDIRECT(ORÇAMENTO.BancoRef)),"(abra o arquivo 'Referência "&amp;Excel_BuiltIn_Database&amp;".xlsm)",IF(OR($C113&lt;&gt;"S",ORÇAMENTO.CodBarra=""),"(Sem Código)",IF(ISERROR(MATCH($AE113,INDIRECT(ORÇAMENTO.BancoRef),0)),"(Código não identificado nas referências)",MATCH($AE113,INDIRECT(ORÇAMENTO.BancoRef),0))))</f>
        <v>(Sem Código)</v>
      </c>
      <c r="AG113" s="498">
        <f ca="1">ROUND(IF(DESONERACAO="sim",REFERENCIA.Desonerado,REFERENCIA.NaoDesonerado),2)</f>
        <v>0</v>
      </c>
      <c r="AH113" s="499">
        <f t="shared" ca="1" si="47"/>
        <v>0.23380000000000001</v>
      </c>
      <c r="AJ113" s="501"/>
      <c r="AL113" s="527"/>
      <c r="AM113" s="381">
        <f t="shared" ca="1" si="32"/>
        <v>9427.4699999999993</v>
      </c>
      <c r="AN113" s="566">
        <f t="shared" ca="1" si="48"/>
        <v>0</v>
      </c>
    </row>
    <row r="114" spans="1:40" ht="25.5" x14ac:dyDescent="0.2">
      <c r="A114" t="str">
        <f t="shared" si="33"/>
        <v>S</v>
      </c>
      <c r="B114">
        <f t="shared" ca="1" si="34"/>
        <v>2</v>
      </c>
      <c r="C114" t="str">
        <f t="shared" ca="1" si="35"/>
        <v>S</v>
      </c>
      <c r="D114">
        <f t="shared" ca="1" si="36"/>
        <v>0</v>
      </c>
      <c r="E114">
        <f ca="1">IF($C114=1,OFFSET(E114,-1,0)+MAX(1,COUNTIF(QCI!$A$13:$A$24,OFFSET(ORÇAMENTO!E114,-1,0))),OFFSET(E114,-1,0))</f>
        <v>3</v>
      </c>
      <c r="F114">
        <f t="shared" ca="1" si="37"/>
        <v>5</v>
      </c>
      <c r="G114">
        <f t="shared" ca="1" si="38"/>
        <v>0</v>
      </c>
      <c r="H114">
        <f t="shared" ca="1" si="39"/>
        <v>0</v>
      </c>
      <c r="I114">
        <f t="shared" ca="1" si="40"/>
        <v>1</v>
      </c>
      <c r="J114">
        <f t="shared" ca="1" si="41"/>
        <v>0</v>
      </c>
      <c r="K114">
        <f ca="1">IF(OR($C114="S",$C114=0),0,MATCH(OFFSET($D114,0,$C114)+IF($C114&lt;&gt;1,1,COUNTIF(QCI!$A$13:$A$24,ORÇAMENTO!E114)),OFFSET($D114,1,$C114,ROW($C$119)-ROW($C114)),0))</f>
        <v>0</v>
      </c>
      <c r="L114" s="116" t="str">
        <f t="shared" ca="1" si="42"/>
        <v>F</v>
      </c>
      <c r="M114" s="117" t="s">
        <v>199</v>
      </c>
      <c r="N114" s="118" t="str">
        <f t="shared" ca="1" si="43"/>
        <v>Serviço</v>
      </c>
      <c r="O114" s="119" t="str">
        <f t="shared" ca="1" si="44"/>
        <v>3.5.1.</v>
      </c>
      <c r="P114" s="120" t="s">
        <v>474</v>
      </c>
      <c r="Q114" s="121" t="s">
        <v>491</v>
      </c>
      <c r="R114" s="122" t="str">
        <f ca="1">IF($C114="S",REFERENCIA.Descricao,"(digite a descrição aqui)")</f>
        <v>Placa de advertência em aço, lado de 0,60 m - película retrorrefletiva tipo I + SI - fornecimento e implantação</v>
      </c>
      <c r="S114" s="123" t="str">
        <f ca="1">REFERENCIA.Unidade</f>
        <v>un</v>
      </c>
      <c r="T114" s="124">
        <f ca="1">OFFSET(CÁLCULO!H$15,ROW($T114)-ROW(T$15),0)</f>
        <v>2</v>
      </c>
      <c r="U114" s="125">
        <f t="shared" ca="1" si="49"/>
        <v>287.33999999999997</v>
      </c>
      <c r="V114" s="126" t="s">
        <v>156</v>
      </c>
      <c r="W114" s="124">
        <f ca="1">IF($C114="S",ROUND(IF(TIPOORCAMENTO="Proposto",ORÇAMENTO.CustoUnitario*(1+$AH114),ORÇAMENTO.PrecoUnitarioLicitado),15-13*$AF$10),0)</f>
        <v>354.52</v>
      </c>
      <c r="X114" s="127">
        <f ca="1">IF($C114="S",IF(Import.TipoArredondamento&lt;&gt;"TransfereGOV",VTOTAL1,SUM(OFFSET(CÁLCULO!$AA$15,ROW($X114)-ROW($X$15),1):OFFSET(CÁLCULO!$AL$15,ROW($X114)-ROW($X$15),-1))),IF($C114=0,0,ROUND(SomaAgrup,15-13*$AF$11)))</f>
        <v>709.04</v>
      </c>
      <c r="Y114" s="128" t="s">
        <v>245</v>
      </c>
      <c r="Z114" t="str">
        <f t="shared" ca="1" si="45"/>
        <v>RA</v>
      </c>
      <c r="AA114" s="129">
        <f ca="1">IF($C114="S",IF($Z114="CP",$X114,IF($Z114="RA",(($X114)*QCI!$AA$3),0)),SomaAgrup)</f>
        <v>709.04</v>
      </c>
      <c r="AB114" s="130">
        <f t="shared" ca="1" si="46"/>
        <v>0</v>
      </c>
      <c r="AC114" s="131" t="str">
        <f ca="1">IF($N114="","",IF(ORÇAMENTO.Descricao="","DESCRIÇÃO",IF(AND($C114="S",ORÇAMENTO.Unidade=""),"UNIDADE",IF($X114&lt;0,"VALOR NEGATIVO",IF(OR(AND(TIPOORCAMENTO="Proposto",$AG114&lt;&gt;"",$AG114&gt;0,ORÇAMENTO.CustoUnitario&gt;$AG114),AND(TIPOORCAMENTO="LICITADO",ORÇAMENTO.PrecoUnitarioLicitado&gt;$AN114)),"ACIMA REF.","")))))</f>
        <v/>
      </c>
      <c r="AD114" t="str">
        <f ca="1">IF(C114&lt;=CRONO.NivelExibicao,MAX($AD$15:OFFSET(AD114,-1,0))+IF($C114&lt;&gt;1,1,MAX(1,COUNTIF(QCI!$A$13:$A$24,OFFSET($E114,-1,0)))),"")</f>
        <v/>
      </c>
      <c r="AE114" s="7" t="str">
        <f ca="1">IF(AND($C114="S",ORÇAMENTO.CodBarra&lt;&gt;""),IF(ORÇAMENTO.Fonte="",ORÇAMENTO.CodBarra,CONCATENATE(ORÇAMENTO.Fonte," ",ORÇAMENTO.CodBarra)))</f>
        <v>SICRO 5213464</v>
      </c>
      <c r="AF114" s="13">
        <f ca="1">IF(ISERROR(INDIRECT(ORÇAMENTO.BancoRef)),"(abra o arquivo 'Referência "&amp;Excel_BuiltIn_Database&amp;".xlsm)",IF(OR($C114&lt;&gt;"S",ORÇAMENTO.CodBarra=""),"(Sem Código)",IF(ISERROR(MATCH($AE114,INDIRECT(ORÇAMENTO.BancoRef),0)),"(Código não identificado nas referências)",MATCH($AE114,INDIRECT(ORÇAMENTO.BancoRef),0))))</f>
        <v>21013</v>
      </c>
      <c r="AG114" s="498">
        <f ca="1">ROUND(IF(DESONERACAO="sim",REFERENCIA.Desonerado,REFERENCIA.NaoDesonerado),2)</f>
        <v>287.33999999999997</v>
      </c>
      <c r="AH114" s="499">
        <f t="shared" ca="1" si="47"/>
        <v>0.23380000000000001</v>
      </c>
      <c r="AJ114" s="501">
        <v>2</v>
      </c>
      <c r="AL114" s="527"/>
      <c r="AM114" s="381">
        <f t="shared" ca="1" si="32"/>
        <v>709.04</v>
      </c>
      <c r="AN114" s="566">
        <f t="shared" ca="1" si="48"/>
        <v>354.52</v>
      </c>
    </row>
    <row r="115" spans="1:40" ht="25.5" x14ac:dyDescent="0.2">
      <c r="A115" t="str">
        <f t="shared" si="33"/>
        <v>S</v>
      </c>
      <c r="B115">
        <f t="shared" ca="1" si="34"/>
        <v>2</v>
      </c>
      <c r="C115" t="str">
        <f t="shared" ca="1" si="35"/>
        <v>S</v>
      </c>
      <c r="D115">
        <f t="shared" ca="1" si="36"/>
        <v>0</v>
      </c>
      <c r="E115">
        <f ca="1">IF($C115=1,OFFSET(E115,-1,0)+MAX(1,COUNTIF(QCI!$A$13:$A$24,OFFSET(ORÇAMENTO!E115,-1,0))),OFFSET(E115,-1,0))</f>
        <v>3</v>
      </c>
      <c r="F115">
        <f t="shared" ca="1" si="37"/>
        <v>5</v>
      </c>
      <c r="G115">
        <f t="shared" ca="1" si="38"/>
        <v>0</v>
      </c>
      <c r="H115">
        <f t="shared" ca="1" si="39"/>
        <v>0</v>
      </c>
      <c r="I115">
        <f t="shared" ca="1" si="40"/>
        <v>2</v>
      </c>
      <c r="J115">
        <f t="shared" ca="1" si="41"/>
        <v>0</v>
      </c>
      <c r="K115">
        <f ca="1">IF(OR($C115="S",$C115=0),0,MATCH(OFFSET($D115,0,$C115)+IF($C115&lt;&gt;1,1,COUNTIF(QCI!$A$13:$A$24,ORÇAMENTO!E115)),OFFSET($D115,1,$C115,ROW($C$119)-ROW($C115)),0))</f>
        <v>0</v>
      </c>
      <c r="L115" s="116" t="str">
        <f t="shared" ca="1" si="42"/>
        <v>F</v>
      </c>
      <c r="M115" s="117" t="s">
        <v>199</v>
      </c>
      <c r="N115" s="118" t="str">
        <f t="shared" ca="1" si="43"/>
        <v>Serviço</v>
      </c>
      <c r="O115" s="119" t="str">
        <f t="shared" ca="1" si="44"/>
        <v>3.5.2.</v>
      </c>
      <c r="P115" s="120" t="s">
        <v>474</v>
      </c>
      <c r="Q115" s="121" t="s">
        <v>492</v>
      </c>
      <c r="R115" s="122" t="str">
        <f ca="1">IF($C115="S",REFERENCIA.Descricao,"(digite a descrição aqui)")</f>
        <v>Placa de advertência em aço, lado de 0,80 m - película retrorrefletiva tipo I + SI - fornecimento e implantação</v>
      </c>
      <c r="S115" s="123" t="str">
        <f ca="1">REFERENCIA.Unidade</f>
        <v>un</v>
      </c>
      <c r="T115" s="124">
        <f ca="1">OFFSET(CÁLCULO!H$15,ROW($T115)-ROW(T$15),0)</f>
        <v>4</v>
      </c>
      <c r="U115" s="125">
        <f t="shared" ca="1" si="49"/>
        <v>491.67</v>
      </c>
      <c r="V115" s="126" t="s">
        <v>156</v>
      </c>
      <c r="W115" s="124">
        <f ca="1">IF($C115="S",ROUND(IF(TIPOORCAMENTO="Proposto",ORÇAMENTO.CustoUnitario*(1+$AH115),ORÇAMENTO.PrecoUnitarioLicitado),15-13*$AF$10),0)</f>
        <v>606.62</v>
      </c>
      <c r="X115" s="127">
        <f ca="1">IF($C115="S",IF(Import.TipoArredondamento&lt;&gt;"TransfereGOV",VTOTAL1,SUM(OFFSET(CÁLCULO!$AA$15,ROW($X115)-ROW($X$15),1):OFFSET(CÁLCULO!$AL$15,ROW($X115)-ROW($X$15),-1))),IF($C115=0,0,ROUND(SomaAgrup,15-13*$AF$11)))</f>
        <v>2426.48</v>
      </c>
      <c r="Y115" s="128" t="s">
        <v>245</v>
      </c>
      <c r="Z115" t="str">
        <f t="shared" ca="1" si="45"/>
        <v>RA</v>
      </c>
      <c r="AA115" s="129">
        <f ca="1">IF($C115="S",IF($Z115="CP",$X115,IF($Z115="RA",(($X115)*QCI!$AA$3),0)),SomaAgrup)</f>
        <v>2426.48</v>
      </c>
      <c r="AB115" s="130">
        <f t="shared" ca="1" si="46"/>
        <v>0</v>
      </c>
      <c r="AC115" s="131" t="str">
        <f ca="1">IF($N115="","",IF(ORÇAMENTO.Descricao="","DESCRIÇÃO",IF(AND($C115="S",ORÇAMENTO.Unidade=""),"UNIDADE",IF($X115&lt;0,"VALOR NEGATIVO",IF(OR(AND(TIPOORCAMENTO="Proposto",$AG115&lt;&gt;"",$AG115&gt;0,ORÇAMENTO.CustoUnitario&gt;$AG115),AND(TIPOORCAMENTO="LICITADO",ORÇAMENTO.PrecoUnitarioLicitado&gt;$AN115)),"ACIMA REF.","")))))</f>
        <v/>
      </c>
      <c r="AD115" t="str">
        <f ca="1">IF(C115&lt;=CRONO.NivelExibicao,MAX($AD$15:OFFSET(AD115,-1,0))+IF($C115&lt;&gt;1,1,MAX(1,COUNTIF(QCI!$A$13:$A$24,OFFSET($E115,-1,0)))),"")</f>
        <v/>
      </c>
      <c r="AE115" s="7" t="str">
        <f ca="1">IF(AND($C115="S",ORÇAMENTO.CodBarra&lt;&gt;""),IF(ORÇAMENTO.Fonte="",ORÇAMENTO.CodBarra,CONCATENATE(ORÇAMENTO.Fonte," ",ORÇAMENTO.CodBarra)))</f>
        <v>SICRO 5213465</v>
      </c>
      <c r="AF115" s="13">
        <f ca="1">IF(ISERROR(INDIRECT(ORÇAMENTO.BancoRef)),"(abra o arquivo 'Referência "&amp;Excel_BuiltIn_Database&amp;".xlsm)",IF(OR($C115&lt;&gt;"S",ORÇAMENTO.CodBarra=""),"(Sem Código)",IF(ISERROR(MATCH($AE115,INDIRECT(ORÇAMENTO.BancoRef),0)),"(Código não identificado nas referências)",MATCH($AE115,INDIRECT(ORÇAMENTO.BancoRef),0))))</f>
        <v>21014</v>
      </c>
      <c r="AG115" s="498">
        <f ca="1">ROUND(IF(DESONERACAO="sim",REFERENCIA.Desonerado,REFERENCIA.NaoDesonerado),2)</f>
        <v>491.67</v>
      </c>
      <c r="AH115" s="499">
        <f t="shared" ca="1" si="47"/>
        <v>0.23380000000000001</v>
      </c>
      <c r="AJ115" s="501">
        <v>4</v>
      </c>
      <c r="AL115" s="527"/>
      <c r="AM115" s="381">
        <f t="shared" ca="1" si="32"/>
        <v>2426.48</v>
      </c>
      <c r="AN115" s="566">
        <f t="shared" ca="1" si="48"/>
        <v>606.62</v>
      </c>
    </row>
    <row r="116" spans="1:40" ht="25.5" x14ac:dyDescent="0.2">
      <c r="A116" t="str">
        <f t="shared" si="33"/>
        <v>S</v>
      </c>
      <c r="B116">
        <f t="shared" ca="1" si="34"/>
        <v>2</v>
      </c>
      <c r="C116" t="str">
        <f t="shared" ca="1" si="35"/>
        <v>S</v>
      </c>
      <c r="D116">
        <f t="shared" ca="1" si="36"/>
        <v>0</v>
      </c>
      <c r="E116">
        <f ca="1">IF($C116=1,OFFSET(E116,-1,0)+MAX(1,COUNTIF(QCI!$A$13:$A$24,OFFSET(ORÇAMENTO!E116,-1,0))),OFFSET(E116,-1,0))</f>
        <v>3</v>
      </c>
      <c r="F116">
        <f t="shared" ca="1" si="37"/>
        <v>5</v>
      </c>
      <c r="G116">
        <f t="shared" ca="1" si="38"/>
        <v>0</v>
      </c>
      <c r="H116">
        <f t="shared" ca="1" si="39"/>
        <v>0</v>
      </c>
      <c r="I116">
        <f t="shared" ca="1" si="40"/>
        <v>3</v>
      </c>
      <c r="J116">
        <f t="shared" ca="1" si="41"/>
        <v>0</v>
      </c>
      <c r="K116">
        <f ca="1">IF(OR($C116="S",$C116=0),0,MATCH(OFFSET($D116,0,$C116)+IF($C116&lt;&gt;1,1,COUNTIF(QCI!$A$13:$A$24,ORÇAMENTO!E116)),OFFSET($D116,1,$C116,ROW($C$119)-ROW($C116)),0))</f>
        <v>0</v>
      </c>
      <c r="L116" s="116" t="str">
        <f t="shared" ca="1" si="42"/>
        <v>F</v>
      </c>
      <c r="M116" s="117" t="s">
        <v>199</v>
      </c>
      <c r="N116" s="118" t="str">
        <f t="shared" ca="1" si="43"/>
        <v>Serviço</v>
      </c>
      <c r="O116" s="119" t="str">
        <f t="shared" ca="1" si="44"/>
        <v>3.5.3.</v>
      </c>
      <c r="P116" s="120" t="s">
        <v>474</v>
      </c>
      <c r="Q116" s="121" t="s">
        <v>498</v>
      </c>
      <c r="R116" s="122" t="str">
        <f ca="1">IF($C116="S",REFERENCIA.Descricao,"(digite a descrição aqui)")</f>
        <v>Placa em aço nº 16 galvanizado com película retrorrefletiva tipo I + SI - confecção</v>
      </c>
      <c r="S116" s="123" t="str">
        <f ca="1">REFERENCIA.Unidade</f>
        <v>m²</v>
      </c>
      <c r="T116" s="124">
        <f ca="1">OFFSET(CÁLCULO!H$15,ROW($T116)-ROW(T$15),0)</f>
        <v>0.25</v>
      </c>
      <c r="U116" s="125">
        <f t="shared" ca="1" si="49"/>
        <v>627.27</v>
      </c>
      <c r="V116" s="126" t="s">
        <v>156</v>
      </c>
      <c r="W116" s="124">
        <f ca="1">IF($C116="S",ROUND(IF(TIPOORCAMENTO="Proposto",ORÇAMENTO.CustoUnitario*(1+$AH116),ORÇAMENTO.PrecoUnitarioLicitado),15-13*$AF$10),0)</f>
        <v>773.93</v>
      </c>
      <c r="X116" s="127">
        <f ca="1">IF($C116="S",IF(Import.TipoArredondamento&lt;&gt;"TransfereGOV",VTOTAL1,SUM(OFFSET(CÁLCULO!$AA$15,ROW($X116)-ROW($X$15),1):OFFSET(CÁLCULO!$AL$15,ROW($X116)-ROW($X$15),-1))),IF($C116=0,0,ROUND(SomaAgrup,15-13*$AF$11)))</f>
        <v>193.48</v>
      </c>
      <c r="Y116" s="128" t="s">
        <v>245</v>
      </c>
      <c r="Z116" t="str">
        <f t="shared" ca="1" si="45"/>
        <v>RA</v>
      </c>
      <c r="AA116" s="129">
        <f ca="1">IF($C116="S",IF($Z116="CP",$X116,IF($Z116="RA",(($X116)*QCI!$AA$3),0)),SomaAgrup)</f>
        <v>193.48</v>
      </c>
      <c r="AB116" s="130">
        <f t="shared" ca="1" si="46"/>
        <v>0</v>
      </c>
      <c r="AC116" s="131" t="str">
        <f ca="1">IF($N116="","",IF(ORÇAMENTO.Descricao="","DESCRIÇÃO",IF(AND($C116="S",ORÇAMENTO.Unidade=""),"UNIDADE",IF($X116&lt;0,"VALOR NEGATIVO",IF(OR(AND(TIPOORCAMENTO="Proposto",$AG116&lt;&gt;"",$AG116&gt;0,ORÇAMENTO.CustoUnitario&gt;$AG116),AND(TIPOORCAMENTO="LICITADO",ORÇAMENTO.PrecoUnitarioLicitado&gt;$AN116)),"ACIMA REF.","")))))</f>
        <v/>
      </c>
      <c r="AD116" t="str">
        <f ca="1">IF(C116&lt;=CRONO.NivelExibicao,MAX($AD$15:OFFSET(AD116,-1,0))+IF($C116&lt;&gt;1,1,MAX(1,COUNTIF(QCI!$A$13:$A$24,OFFSET($E116,-1,0)))),"")</f>
        <v/>
      </c>
      <c r="AE116" s="7" t="str">
        <f ca="1">IF(AND($C116="S",ORÇAMENTO.CodBarra&lt;&gt;""),IF(ORÇAMENTO.Fonte="",ORÇAMENTO.CodBarra,CONCATENATE(ORÇAMENTO.Fonte," ",ORÇAMENTO.CodBarra)))</f>
        <v>SICRO 5213414</v>
      </c>
      <c r="AF116" s="13">
        <f ca="1">IF(ISERROR(INDIRECT(ORÇAMENTO.BancoRef)),"(abra o arquivo 'Referência "&amp;Excel_BuiltIn_Database&amp;".xlsm)",IF(OR($C116&lt;&gt;"S",ORÇAMENTO.CodBarra=""),"(Sem Código)",IF(ISERROR(MATCH($AE116,INDIRECT(ORÇAMENTO.BancoRef),0)),"(Código não identificado nas referências)",MATCH($AE116,INDIRECT(ORÇAMENTO.BancoRef),0))))</f>
        <v>21093</v>
      </c>
      <c r="AG116" s="498">
        <f ca="1">ROUND(IF(DESONERACAO="sim",REFERENCIA.Desonerado,REFERENCIA.NaoDesonerado),2)</f>
        <v>627.27</v>
      </c>
      <c r="AH116" s="499">
        <f t="shared" ca="1" si="47"/>
        <v>0.23380000000000001</v>
      </c>
      <c r="AJ116" s="501">
        <v>0.25</v>
      </c>
      <c r="AL116" s="527"/>
      <c r="AM116" s="381">
        <f t="shared" ca="1" si="32"/>
        <v>193.48</v>
      </c>
      <c r="AN116" s="566">
        <f t="shared" ca="1" si="48"/>
        <v>773.93</v>
      </c>
    </row>
    <row r="117" spans="1:40" s="577" customFormat="1" ht="25.5" x14ac:dyDescent="0.2">
      <c r="A117" s="577" t="str">
        <f>CHOOSE(1+LOG(1+2*(ORÇAMENTO.Nivel="Meta")+4*(ORÇAMENTO.Nivel="Nível 2")+8*(ORÇAMENTO.Nivel="Nível 3")+16*(ORÇAMENTO.Nivel="Nível 4")+32*(ORÇAMENTO.Nivel="Serviço"),2),0,1,2,3,4,"S")</f>
        <v>S</v>
      </c>
      <c r="B117" s="577">
        <f ca="1">IF(OR(C117="s",C117=0),OFFSET(B117,-1,0),C117)</f>
        <v>2</v>
      </c>
      <c r="C117" s="577" t="str">
        <f ca="1">IF(OFFSET(C117,-1,0)="L",1,IF(OFFSET(C117,-1,0)=1,2,IF(OR(A117="s",A117=0),"S",IF(AND(OFFSET(C117,-1,0)=2,A117=4),3,IF(AND(OR(OFFSET(C117,-1,0)="s",OFFSET(C117,-1,0)=0),A117&lt;&gt;"s",A117&gt;OFFSET(B117,-1,0)),OFFSET(B117,-1,0),A117)))))</f>
        <v>S</v>
      </c>
      <c r="D117" s="577">
        <f ca="1">IF(OR(C117="S",C117=0),0,IF(ISERROR(K117),J117,SMALL(J117:K117,1)))</f>
        <v>0</v>
      </c>
      <c r="E117" s="577">
        <f ca="1">IF($C117=1,OFFSET(E117,-1,0)+MAX(1,COUNTIF(QCI!$A$13:$A$24,OFFSET(ORÇAMENTO!E117,-1,0))),OFFSET(E117,-1,0))</f>
        <v>3</v>
      </c>
      <c r="F117" s="577">
        <f ca="1">IF($C117=1,0,IF($C117=2,OFFSET(F117,-1,0)+1,OFFSET(F117,-1,0)))</f>
        <v>5</v>
      </c>
      <c r="G117" s="577">
        <f ca="1">IF(AND($C117&lt;=2,$C117&lt;&gt;0),0,IF($C117=3,OFFSET(G117,-1,0)+1,OFFSET(G117,-1,0)))</f>
        <v>0</v>
      </c>
      <c r="H117" s="577">
        <f ca="1">IF(AND($C117&lt;=3,$C117&lt;&gt;0),0,IF($C117=4,OFFSET(H117,-1,0)+1,OFFSET(H117,-1,0)))</f>
        <v>0</v>
      </c>
      <c r="I117" s="577">
        <f ca="1">IF(AND($C117&lt;=4,$C117&lt;&gt;0),0,IF(AND($C117="S",$X117&gt;0),OFFSET(I117,-1,0)+1,OFFSET(I117,-1,0)))</f>
        <v>4</v>
      </c>
      <c r="J117" s="577">
        <f ca="1">IF(OR($C117="S",$C117=0),0,MATCH(0,OFFSET($D117,1,$C117,ROW($C$119)-ROW($C117)),0))</f>
        <v>0</v>
      </c>
      <c r="K117" s="577">
        <f ca="1">IF(OR($C117="S",$C117=0),0,MATCH(OFFSET($D117,0,$C117)+IF($C117&lt;&gt;1,1,COUNTIF(QCI!$A$13:$A$24,ORÇAMENTO!E117)),OFFSET($D117,1,$C117,ROW($C$119)-ROW($C117)),0))</f>
        <v>0</v>
      </c>
      <c r="L117" s="116" t="str">
        <f ca="1">IF(OR($X117&gt;0,$C117=1,$C117=2,$C117=3,$C117=4),"F","")</f>
        <v>F</v>
      </c>
      <c r="M117" s="117" t="s">
        <v>199</v>
      </c>
      <c r="N117" s="118" t="str">
        <f ca="1">CHOOSE(1+LOG(1+2*(C117=1)+4*(C117=2)+8*(C117=3)+16*(C117=4)+32*(C117="S"),2),"","Meta","Nível 2","Nível 3","Nível 4","Serviço")</f>
        <v>Serviço</v>
      </c>
      <c r="O117" s="119" t="str">
        <f ca="1">IF(OR($C117=0,$L117=""),"-",CONCATENATE(E117&amp;".",IF(AND($A$5&gt;=2,$C117&gt;=2),F117&amp;".",""),IF(AND($A$5&gt;=3,$C117&gt;=3),G117&amp;".",""),IF(AND($A$5&gt;=4,$C117&gt;=4),H117&amp;".",""),IF($C117="S",I117&amp;".","")))</f>
        <v>3.5.4.</v>
      </c>
      <c r="P117" s="120" t="s">
        <v>474</v>
      </c>
      <c r="Q117" s="121" t="s">
        <v>489</v>
      </c>
      <c r="R117" s="122" t="str">
        <f ca="1">IF($C117="S",REFERENCIA.Descricao,"(digite a descrição aqui)")</f>
        <v>Suporte metálico galvanizado para placa de advertência ou regulamentação - lado ou diâmetro de 0,60 m - fornecimento e implantação</v>
      </c>
      <c r="S117" s="123" t="str">
        <f ca="1">REFERENCIA.Unidade</f>
        <v>un</v>
      </c>
      <c r="T117" s="124">
        <f ca="1">OFFSET(CÁLCULO!H$15,ROW($T117)-ROW(T$15),0)</f>
        <v>7</v>
      </c>
      <c r="U117" s="125">
        <f t="shared" ca="1" si="49"/>
        <v>497.25</v>
      </c>
      <c r="V117" s="126" t="s">
        <v>156</v>
      </c>
      <c r="W117" s="124">
        <f ca="1">IF($C117="S",ROUND(IF(TIPOORCAMENTO="Proposto",ORÇAMENTO.CustoUnitario*(1+$AH117),ORÇAMENTO.PrecoUnitarioLicitado),15-13*$AF$10),0)</f>
        <v>613.51</v>
      </c>
      <c r="X117" s="127">
        <f ca="1">IF($C117="S",IF(Import.TipoArredondamento&lt;&gt;"TransfereGOV",VTOTAL1,SUM(OFFSET(CÁLCULO!$AA$15,ROW($X117)-ROW($X$15),1):OFFSET(CÁLCULO!$AL$15,ROW($X117)-ROW($X$15),-1))),IF($C117=0,0,ROUND(SomaAgrup,15-13*$AF$11)))</f>
        <v>4294.57</v>
      </c>
      <c r="Y117" s="128" t="s">
        <v>245</v>
      </c>
      <c r="Z117" s="577" t="str">
        <f ca="1">IF(AND($C117="S",$X117&gt;0),IF(ISBLANK($Y117),"RA",LEFT($Y117,2)),"")</f>
        <v>RA</v>
      </c>
      <c r="AA117" s="129">
        <f ca="1">IF($C117="S",IF($Z117="CP",$X117,IF($Z117="RA",(($X117)*QCI!$AA$3),0)),SomaAgrup)</f>
        <v>4294.57</v>
      </c>
      <c r="AB117" s="130">
        <f ca="1">IF($C117="S",IF($Z117="OU",ROUND($X117,2),0),SomaAgrup)</f>
        <v>0</v>
      </c>
      <c r="AC117" s="131" t="str">
        <f ca="1">IF($N117="","",IF(ORÇAMENTO.Descricao="","DESCRIÇÃO",IF(AND($C117="S",ORÇAMENTO.Unidade=""),"UNIDADE",IF($X117&lt;0,"VALOR NEGATIVO",IF(OR(AND(TIPOORCAMENTO="Proposto",$AG117&lt;&gt;"",$AG117&gt;0,ORÇAMENTO.CustoUnitario&gt;$AG117),AND(TIPOORCAMENTO="LICITADO",ORÇAMENTO.PrecoUnitarioLicitado&gt;$AN117)),"ACIMA REF.","")))))</f>
        <v/>
      </c>
      <c r="AD117" s="577" t="str">
        <f ca="1">IF(C117&lt;=CRONO.NivelExibicao,MAX($AD$15:OFFSET(AD117,-1,0))+IF($C117&lt;&gt;1,1,MAX(1,COUNTIF(QCI!$A$13:$A$24,OFFSET($E117,-1,0)))),"")</f>
        <v/>
      </c>
      <c r="AE117" s="7" t="str">
        <f ca="1">IF(AND($C117="S",ORÇAMENTO.CodBarra&lt;&gt;""),IF(ORÇAMENTO.Fonte="",ORÇAMENTO.CodBarra,CONCATENATE(ORÇAMENTO.Fonte," ",ORÇAMENTO.CodBarra)))</f>
        <v>SICRO 5213863</v>
      </c>
      <c r="AF117" s="576">
        <f ca="1">IF(ISERROR(INDIRECT(ORÇAMENTO.BancoRef)),"(abra o arquivo 'Referência "&amp;Excel_BuiltIn_Database&amp;".xlsm)",IF(OR($C117&lt;&gt;"S",ORÇAMENTO.CodBarra=""),"(Sem Código)",IF(ISERROR(MATCH($AE117,INDIRECT(ORÇAMENTO.BancoRef),0)),"(Código não identificado nas referências)",MATCH($AE117,INDIRECT(ORÇAMENTO.BancoRef),0))))</f>
        <v>21198</v>
      </c>
      <c r="AG117" s="498">
        <f ca="1">ROUND(IF(DESONERACAO="sim",REFERENCIA.Desonerado,REFERENCIA.NaoDesonerado),2)</f>
        <v>497.25</v>
      </c>
      <c r="AH117" s="499">
        <f ca="1">ROUND(IF(ISNUMBER(ORÇAMENTO.OpcaoBDI),ORÇAMENTO.OpcaoBDI,IF(LEFT(ORÇAMENTO.OpcaoBDI,3)="BDI",HLOOKUP(ORÇAMENTO.OpcaoBDI,$F$4:$H$5,2,FALSE),0)),15-11*$AF$9)</f>
        <v>0.23380000000000001</v>
      </c>
      <c r="AJ117" s="501">
        <v>7</v>
      </c>
      <c r="AL117" s="527"/>
      <c r="AM117" s="381">
        <f t="shared" ca="1" si="32"/>
        <v>4294.57</v>
      </c>
      <c r="AN117" s="566">
        <f ca="1">ROUND(ORÇAMENTO.CustoUnitario*(1+$AH117),2)</f>
        <v>613.51</v>
      </c>
    </row>
    <row r="118" spans="1:40" x14ac:dyDescent="0.2">
      <c r="A118" t="str">
        <f t="shared" si="33"/>
        <v>S</v>
      </c>
      <c r="B118">
        <f t="shared" ca="1" si="34"/>
        <v>2</v>
      </c>
      <c r="C118" t="str">
        <f t="shared" ca="1" si="35"/>
        <v>S</v>
      </c>
      <c r="D118">
        <f t="shared" ca="1" si="36"/>
        <v>0</v>
      </c>
      <c r="E118">
        <f ca="1">IF($C118=1,OFFSET(E118,-1,0)+MAX(1,COUNTIF(QCI!$A$13:$A$24,OFFSET(ORÇAMENTO!E118,-1,0))),OFFSET(E118,-1,0))</f>
        <v>3</v>
      </c>
      <c r="F118">
        <f t="shared" ca="1" si="37"/>
        <v>5</v>
      </c>
      <c r="G118">
        <f t="shared" ca="1" si="38"/>
        <v>0</v>
      </c>
      <c r="H118">
        <f t="shared" ca="1" si="39"/>
        <v>0</v>
      </c>
      <c r="I118">
        <f t="shared" ca="1" si="40"/>
        <v>5</v>
      </c>
      <c r="J118">
        <f t="shared" ca="1" si="41"/>
        <v>0</v>
      </c>
      <c r="K118">
        <f ca="1">IF(OR($C118="S",$C118=0),0,MATCH(OFFSET($D118,0,$C118)+IF($C118&lt;&gt;1,1,COUNTIF(QCI!$A$13:$A$24,ORÇAMENTO!E118)),OFFSET($D118,1,$C118,ROW($C$119)-ROW($C118)),0))</f>
        <v>0</v>
      </c>
      <c r="L118" s="116" t="str">
        <f t="shared" ca="1" si="42"/>
        <v>F</v>
      </c>
      <c r="M118" s="117" t="s">
        <v>199</v>
      </c>
      <c r="N118" s="118" t="str">
        <f t="shared" ca="1" si="43"/>
        <v>Serviço</v>
      </c>
      <c r="O118" s="119" t="str">
        <f t="shared" ca="1" si="44"/>
        <v>3.5.5.</v>
      </c>
      <c r="P118" s="120" t="s">
        <v>474</v>
      </c>
      <c r="Q118" s="121" t="s">
        <v>490</v>
      </c>
      <c r="R118" s="122" t="str">
        <f ca="1">IF($C118="S",REFERENCIA.Descricao,"(digite a descrição aqui)")</f>
        <v>Pintura de faixa com tinta acrílica - espessura de 0,6 mm</v>
      </c>
      <c r="S118" s="123" t="str">
        <f ca="1">REFERENCIA.Unidade</f>
        <v>m²</v>
      </c>
      <c r="T118" s="124">
        <f ca="1">OFFSET(CÁLCULO!H$15,ROW($T118)-ROW(T$15),0)</f>
        <v>52.5</v>
      </c>
      <c r="U118" s="125">
        <f t="shared" ca="1" si="49"/>
        <v>27.85</v>
      </c>
      <c r="V118" s="126" t="s">
        <v>156</v>
      </c>
      <c r="W118" s="124">
        <f ca="1">IF($C118="S",ROUND(IF(TIPOORCAMENTO="Proposto",ORÇAMENTO.CustoUnitario*(1+$AH118),ORÇAMENTO.PrecoUnitarioLicitado),15-13*$AF$10),0)</f>
        <v>34.36</v>
      </c>
      <c r="X118" s="127">
        <f ca="1">IF($C118="S",IF(Import.TipoArredondamento&lt;&gt;"TransfereGOV",VTOTAL1,SUM(OFFSET(CÁLCULO!$AA$15,ROW($X118)-ROW($X$15),1):OFFSET(CÁLCULO!$AL$15,ROW($X118)-ROW($X$15),-1))),IF($C118=0,0,ROUND(SomaAgrup,15-13*$AF$11)))</f>
        <v>1803.9</v>
      </c>
      <c r="Y118" s="128" t="s">
        <v>245</v>
      </c>
      <c r="Z118" t="str">
        <f t="shared" ca="1" si="45"/>
        <v>RA</v>
      </c>
      <c r="AA118" s="129">
        <f ca="1">IF($C118="S",IF($Z118="CP",$X118,IF($Z118="RA",(($X118)*QCI!$AA$3),0)),SomaAgrup)</f>
        <v>1803.9</v>
      </c>
      <c r="AB118" s="130">
        <f t="shared" ca="1" si="46"/>
        <v>0</v>
      </c>
      <c r="AC118" s="131" t="str">
        <f ca="1">IF($N118="","",IF(ORÇAMENTO.Descricao="","DESCRIÇÃO",IF(AND($C118="S",ORÇAMENTO.Unidade=""),"UNIDADE",IF($X118&lt;0,"VALOR NEGATIVO",IF(OR(AND(TIPOORCAMENTO="Proposto",$AG118&lt;&gt;"",$AG118&gt;0,ORÇAMENTO.CustoUnitario&gt;$AG118),AND(TIPOORCAMENTO="LICITADO",ORÇAMENTO.PrecoUnitarioLicitado&gt;$AN118)),"ACIMA REF.","")))))</f>
        <v/>
      </c>
      <c r="AD118" t="str">
        <f ca="1">IF(C118&lt;=CRONO.NivelExibicao,MAX($AD$15:OFFSET(AD118,-1,0))+IF($C118&lt;&gt;1,1,MAX(1,COUNTIF(QCI!$A$13:$A$24,OFFSET($E118,-1,0)))),"")</f>
        <v/>
      </c>
      <c r="AE118" s="7" t="str">
        <f ca="1">IF(AND($C118="S",ORÇAMENTO.CodBarra&lt;&gt;""),IF(ORÇAMENTO.Fonte="",ORÇAMENTO.CodBarra,CONCATENATE(ORÇAMENTO.Fonte," ",ORÇAMENTO.CodBarra)))</f>
        <v>SICRO 5213401</v>
      </c>
      <c r="AF118" s="13">
        <f ca="1">IF(ISERROR(INDIRECT(ORÇAMENTO.BancoRef)),"(abra o arquivo 'Referência "&amp;Excel_BuiltIn_Database&amp;".xlsm)",IF(OR($C118&lt;&gt;"S",ORÇAMENTO.CodBarra=""),"(Sem Código)",IF(ISERROR(MATCH($AE118,INDIRECT(ORÇAMENTO.BancoRef),0)),"(Código não identificado nas referências)",MATCH($AE118,INDIRECT(ORÇAMENTO.BancoRef),0))))</f>
        <v>21001</v>
      </c>
      <c r="AG118" s="498">
        <f ca="1">ROUND(IF(DESONERACAO="sim",REFERENCIA.Desonerado,REFERENCIA.NaoDesonerado),2)</f>
        <v>27.85</v>
      </c>
      <c r="AH118" s="499">
        <f t="shared" ca="1" si="47"/>
        <v>0.23380000000000001</v>
      </c>
      <c r="AJ118" s="501">
        <v>52.5</v>
      </c>
      <c r="AL118" s="527"/>
      <c r="AM118" s="381">
        <f t="shared" ca="1" si="32"/>
        <v>1803.9</v>
      </c>
      <c r="AN118" s="566">
        <f t="shared" ca="1" si="48"/>
        <v>34.36</v>
      </c>
    </row>
    <row r="119" spans="1:40" ht="5.0999999999999996" customHeight="1" x14ac:dyDescent="0.2">
      <c r="A119">
        <v>-1</v>
      </c>
      <c r="C119">
        <v>-1</v>
      </c>
      <c r="E119">
        <v>0</v>
      </c>
      <c r="F119">
        <v>0</v>
      </c>
      <c r="G119">
        <v>0</v>
      </c>
      <c r="H119">
        <v>0</v>
      </c>
      <c r="I119">
        <v>0</v>
      </c>
      <c r="L119" s="116" t="s">
        <v>246</v>
      </c>
      <c r="M119" s="492"/>
      <c r="N119" s="493"/>
      <c r="O119" s="492"/>
      <c r="P119" s="494"/>
      <c r="Q119" s="494"/>
      <c r="R119" s="494"/>
      <c r="S119" s="494"/>
      <c r="T119" s="494"/>
      <c r="U119" s="494"/>
      <c r="V119" s="494"/>
      <c r="W119" s="494"/>
      <c r="X119" s="493"/>
      <c r="AG119" s="484"/>
      <c r="AH119" s="486"/>
      <c r="AJ119" s="495"/>
      <c r="AL119" s="484"/>
      <c r="AM119" s="485"/>
      <c r="AN119" s="486"/>
    </row>
    <row r="122" spans="1:40" ht="14.25" x14ac:dyDescent="0.2">
      <c r="O122" s="140" t="s">
        <v>248</v>
      </c>
      <c r="Q122" s="614" t="s">
        <v>249</v>
      </c>
      <c r="R122" s="614"/>
      <c r="S122" s="614"/>
      <c r="T122" s="614"/>
      <c r="U122" s="614"/>
      <c r="V122" s="614"/>
      <c r="W122" s="614"/>
      <c r="X122" s="614"/>
    </row>
    <row r="124" spans="1:40" ht="14.25" x14ac:dyDescent="0.2">
      <c r="O124" s="141" t="s">
        <v>187</v>
      </c>
      <c r="X124" s="4"/>
    </row>
    <row r="125" spans="1:40" ht="12.75" customHeight="1" x14ac:dyDescent="0.2">
      <c r="O125" s="615"/>
      <c r="P125" s="615"/>
      <c r="Q125" s="615"/>
      <c r="R125" s="615"/>
      <c r="S125" s="615"/>
      <c r="T125" s="615"/>
      <c r="U125" s="615"/>
      <c r="V125" s="615"/>
      <c r="W125" s="615"/>
      <c r="X125" s="615"/>
    </row>
    <row r="126" spans="1:40" x14ac:dyDescent="0.2">
      <c r="O126" s="615"/>
      <c r="P126" s="615"/>
      <c r="Q126" s="615"/>
      <c r="R126" s="615"/>
      <c r="S126" s="615"/>
      <c r="T126" s="615"/>
      <c r="U126" s="615"/>
      <c r="V126" s="615"/>
      <c r="W126" s="615"/>
      <c r="X126" s="615"/>
    </row>
    <row r="127" spans="1:40" x14ac:dyDescent="0.2">
      <c r="O127" s="615"/>
      <c r="P127" s="615"/>
      <c r="Q127" s="615"/>
      <c r="R127" s="615"/>
      <c r="S127" s="615"/>
      <c r="T127" s="615"/>
      <c r="U127" s="615"/>
      <c r="V127" s="615"/>
      <c r="W127" s="615"/>
      <c r="X127" s="615"/>
    </row>
    <row r="128" spans="1:40" ht="14.25" x14ac:dyDescent="0.2">
      <c r="O128" s="534"/>
      <c r="P128" s="534"/>
      <c r="Q128" s="534"/>
      <c r="R128" s="534"/>
      <c r="S128" s="534"/>
      <c r="T128" s="534"/>
      <c r="U128" s="534"/>
      <c r="V128" s="534"/>
      <c r="W128" s="534"/>
      <c r="X128" s="534"/>
      <c r="Y128" s="534"/>
      <c r="Z128" s="142"/>
      <c r="AA128" s="142"/>
      <c r="AB128" s="142"/>
    </row>
    <row r="129" spans="15:28" ht="15" x14ac:dyDescent="0.25">
      <c r="O129" s="616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129" s="616"/>
      <c r="Q129" s="616"/>
      <c r="R129" s="616"/>
      <c r="S129" s="616"/>
      <c r="T129" s="616"/>
      <c r="U129" s="616"/>
      <c r="V129" s="616"/>
      <c r="W129" s="616"/>
      <c r="X129" s="616"/>
      <c r="Y129" s="143"/>
      <c r="Z129" s="143"/>
      <c r="AA129" s="143"/>
      <c r="AB129" s="143"/>
    </row>
    <row r="130" spans="15:28" ht="15" customHeight="1" x14ac:dyDescent="0.25">
      <c r="O130" s="618" t="s">
        <v>250</v>
      </c>
      <c r="P130" s="618"/>
      <c r="Q130" s="618"/>
      <c r="R130" s="618"/>
      <c r="S130" s="618"/>
      <c r="T130" s="618"/>
      <c r="U130" s="618"/>
      <c r="V130" s="618"/>
      <c r="W130" s="618"/>
      <c r="X130" s="618"/>
      <c r="Y130" s="143"/>
      <c r="Z130" s="143"/>
      <c r="AA130" s="143"/>
      <c r="AB130" s="143"/>
    </row>
    <row r="132" spans="15:28" ht="30" customHeight="1" x14ac:dyDescent="0.2">
      <c r="O132" s="617" t="str">
        <f>Import.Município</f>
        <v>CÂNDIDO GODÓI</v>
      </c>
      <c r="P132" s="617"/>
      <c r="Q132" s="617"/>
      <c r="S132" s="553"/>
      <c r="T132" s="553"/>
      <c r="U132" s="553"/>
      <c r="V132" s="553"/>
      <c r="W132" s="479"/>
    </row>
    <row r="133" spans="15:28" x14ac:dyDescent="0.2">
      <c r="O133" s="10" t="s">
        <v>188</v>
      </c>
      <c r="S133" s="195" t="s">
        <v>190</v>
      </c>
      <c r="T133" s="195"/>
      <c r="U133" s="195"/>
      <c r="V133" s="195"/>
    </row>
    <row r="134" spans="15:28" x14ac:dyDescent="0.2">
      <c r="S134" s="78" t="s">
        <v>108</v>
      </c>
      <c r="T134" s="79" t="str">
        <f t="array" ref="T134:T136">Import.RespOrçamento</f>
        <v>DANIEL RODRIGO GOERLACH</v>
      </c>
      <c r="V134" s="80"/>
    </row>
    <row r="135" spans="15:28" x14ac:dyDescent="0.2">
      <c r="O135" s="612">
        <f ca="1">DADOS!$F$25</f>
        <v>46037</v>
      </c>
      <c r="P135" s="612"/>
      <c r="Q135" s="612"/>
      <c r="S135" s="78" t="s">
        <v>109</v>
      </c>
      <c r="T135" s="79" t="str">
        <v>CREA/RS 130.189</v>
      </c>
      <c r="U135" s="80"/>
      <c r="V135" s="80"/>
    </row>
    <row r="136" spans="15:28" x14ac:dyDescent="0.2">
      <c r="O136" s="146" t="s">
        <v>189</v>
      </c>
      <c r="P136" s="1"/>
      <c r="Q136" s="1"/>
      <c r="S136" s="78" t="s">
        <v>110</v>
      </c>
      <c r="T136" s="79">
        <v>0</v>
      </c>
      <c r="U136" s="80"/>
      <c r="V136" s="80"/>
    </row>
  </sheetData>
  <sheetProtection algorithmName="SHA-512" hashValue="z1S+l/tCOTtDoNIfcABYorfG4xVhKPGv4pf1wAOmd9EReIZ2fXffpW57rE2o/WxtOIxgmdpEKkfNpSvUr0Sx+g==" saltValue="C++SD8gowJ7rrlz8MiAQ9Q==" spinCount="100000" sheet="1" objects="1" scenarios="1" autoFilter="0"/>
  <autoFilter ref="L15:L119"/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135:Q135"/>
    <mergeCell ref="O15:R15"/>
    <mergeCell ref="Q122:X122"/>
    <mergeCell ref="O125:X127"/>
    <mergeCell ref="O129:X129"/>
    <mergeCell ref="O132:Q132"/>
    <mergeCell ref="O130:X130"/>
  </mergeCells>
  <phoneticPr fontId="38" type="noConversion"/>
  <conditionalFormatting sqref="M14 M49 M34 M106:M108 M17:M19 M26:M32 M53:M57 M70:M75 M39:M40 M79:M89 M43:M47 M92 M113:M116 M118 M60:M67 M94">
    <cfRule type="cellIs" dxfId="912" priority="9022" stopIfTrue="1" operator="notEqual">
      <formula>$N14</formula>
    </cfRule>
  </conditionalFormatting>
  <conditionalFormatting sqref="N14:O14 R14 W14:X14 W49:X49 R49 N49:O49 N34:O34 R34 W34:X34 N106:O108 R106:R108 W106:X108 N17:O19 R17:R19 W17:X19 N26:O32 R26:R32 W26:X32 N53:O57 R53:R57 W53:X57 W70:X75 R70:R75 N70:O75 N39:O40 R39:R40 W39:X40 N79:O89 R79:R89 W79:X89 W43:X47 R43:R47 N43:O47 W92:X92 R92 N92:O92 W113:X116 R113:R116 N113:O116 N118:O118 R118 W118:X118 N60:O67 R60:R67 W60:X67 N94:O94 R94 W94:X94">
    <cfRule type="expression" dxfId="911" priority="9023" stopIfTrue="1">
      <formula>$C14=1</formula>
    </cfRule>
    <cfRule type="expression" dxfId="910" priority="9024" stopIfTrue="1">
      <formula>OR($C14=0,$C14=2,$C14=3,$C14=4)</formula>
    </cfRule>
  </conditionalFormatting>
  <conditionalFormatting sqref="U14:V14 V39:V40 V34 V106:V108 V55:V57 U17:V19 V31:V32 U28:V30 V26:V27 U31:U36 U37:V37 U46:U52 V70:V75 V85:V89 U43:V45 U53:V53 V92 U113:V116 U118:V118 U117 U54:U59 U38:U42 U79:V84 U68:U78 U20:U27 U60:V67 U83:U112 V94">
    <cfRule type="expression" dxfId="909" priority="9025" stopIfTrue="1">
      <formula>$C14=1</formula>
    </cfRule>
    <cfRule type="expression" dxfId="908" priority="9026" stopIfTrue="1">
      <formula>OR($C14=0,$C14=2,$C14=3,$C14=4)</formula>
    </cfRule>
    <cfRule type="expression" dxfId="907" priority="9027" stopIfTrue="1">
      <formula>AND(TIPOORCAMENTO="Licitado",$C14&lt;&gt;"L",$C14&lt;&gt;-1)</formula>
    </cfRule>
  </conditionalFormatting>
  <conditionalFormatting sqref="P14:Q14 S14:T14 Y14 AG14:AH14 AG49:AH49 Y49 S49:T49 P49:Q49 P34:Q34 S34:T34 Y34 AG34:AH34 P106:Q108 S106:T108 Y106:Y108 AG106:AH108 P17:Q19 S17:T19 Y17:Y19 AG17:AH19 P26:Q32 S26:T32 Y26:Y32 AG26:AH32 P53:Q57 S53:T57 Y53:Y57 AG53:AH57 AG70:AH75 Y70:Y75 S70:T75 P70:Q75 P39:Q40 S39:T40 Y39:Y40 AG39:AH40 P79:Q89 S79:T89 Y79:Y89 AG79:AH89 AG43:AH47 Y43:Y47 S43:T47 P43:Q47 AG92:AH92 Y92 S92:T92 P92:Q92 AG113:AH116 Y113:Y116 S113:T116 P113:Q116 P118:Q118 S118:T118 Y118 AG118:AH118 P60:Q67 S60:T67 Y60:Y67 AG60:AH67 P94:Q94 S94:T94 Y94 AG94:AH94">
    <cfRule type="expression" dxfId="906" priority="9028" stopIfTrue="1">
      <formula>$C14=1</formula>
    </cfRule>
    <cfRule type="expression" dxfId="905" priority="9029" stopIfTrue="1">
      <formula>OR($C14=0,$C14=2,$C14=3,$C14=4)</formula>
    </cfRule>
  </conditionalFormatting>
  <conditionalFormatting sqref="AJ34 AJ49 AJ106:AJ108 AJ7:AJ15 AJ17:AJ19 AJ26:AJ32 AJ53:AJ57 AJ70:AJ75 AJ39:AJ40 AJ79:AJ89 AJ43:AJ47 AJ92 AJ113:AJ116 AJ118:AJ119 AJ60:AJ67 AJ94">
    <cfRule type="expression" dxfId="904" priority="9030" stopIfTrue="1">
      <formula>OR(ACOMPANHAMENTO&lt;&gt;"BM",TIPOORCAMENTO="Licitado")</formula>
    </cfRule>
    <cfRule type="expression" dxfId="903" priority="9031" stopIfTrue="1">
      <formula>$C7=1</formula>
    </cfRule>
    <cfRule type="expression" dxfId="902" priority="9032" stopIfTrue="1">
      <formula>OR(AND(ISNUMBER($C7),$C7=0),$C7=2,$C7=3,$C7=4)</formula>
    </cfRule>
  </conditionalFormatting>
  <conditionalFormatting sqref="AL34 AL49 AL106:AL108 AL7:AL15 AL17:AL19 AL26:AL32 AL53:AL57 AL70:AL75 AL39:AL40 AL79:AL89 AL43:AL47 AL92 AL113:AL116 AL118:AL119 AL60:AL67 AL94">
    <cfRule type="expression" dxfId="901" priority="9033" stopIfTrue="1">
      <formula>TIPOORCAMENTO="PROPOSTO"</formula>
    </cfRule>
    <cfRule type="expression" dxfId="900" priority="9034" stopIfTrue="1">
      <formula>$C7=1</formula>
    </cfRule>
    <cfRule type="expression" dxfId="899" priority="9035" stopIfTrue="1">
      <formula>OR(AND(ISNUMBER($C7),$C7=0),$C7=2,$C7=3,$C7=4)</formula>
    </cfRule>
  </conditionalFormatting>
  <conditionalFormatting sqref="O8:P8">
    <cfRule type="expression" dxfId="898" priority="9039" stopIfTrue="1">
      <formula>ISERROR(INDIRECT($F$9))</formula>
    </cfRule>
  </conditionalFormatting>
  <conditionalFormatting sqref="S7:V8">
    <cfRule type="expression" dxfId="897" priority="9040" stopIfTrue="1">
      <formula>TIPOORCAMENTO="Proposto"</formula>
    </cfRule>
  </conditionalFormatting>
  <conditionalFormatting sqref="S9:V9">
    <cfRule type="expression" dxfId="896" priority="8987" stopIfTrue="1">
      <formula>TIPOORCAMENTO="Proposto"</formula>
    </cfRule>
  </conditionalFormatting>
  <conditionalFormatting sqref="AM34:AN34 AM49:AN49 AM106:AN108 AM7:AN15 AM54:AN57 AM17:AN19 AM26:AN32 AM70:AN75 AM39:AN40 AM79:AN89 AM43:AN47 AM92:AN92 AM113:AN116 AM118:AN119 AM60:AN67 AM94:AN94">
    <cfRule type="expression" dxfId="895" priority="9036" stopIfTrue="1">
      <formula>TIPOORCAMENTO="PROPOSTO"</formula>
    </cfRule>
    <cfRule type="expression" dxfId="894" priority="9037" stopIfTrue="1">
      <formula>$C7=1</formula>
    </cfRule>
    <cfRule type="expression" dxfId="893" priority="9038" stopIfTrue="1">
      <formula>OR(AND(ISNUMBER($C7),$C7=0),$C7=2,$C7=3,$C7=4)</formula>
    </cfRule>
  </conditionalFormatting>
  <conditionalFormatting sqref="V49 V54 V46:V47">
    <cfRule type="expression" dxfId="892" priority="1160" stopIfTrue="1">
      <formula>$C46=1</formula>
    </cfRule>
    <cfRule type="expression" dxfId="891" priority="1161" stopIfTrue="1">
      <formula>OR($C46=0,$C46=2,$C46=3,$C46=4)</formula>
    </cfRule>
    <cfRule type="expression" dxfId="890" priority="1162" stopIfTrue="1">
      <formula>AND(TIPOORCAMENTO="Licitado",$C46&lt;&gt;"L",$C46&lt;&gt;-1)</formula>
    </cfRule>
  </conditionalFormatting>
  <conditionalFormatting sqref="M38">
    <cfRule type="cellIs" dxfId="889" priority="698" stopIfTrue="1" operator="notEqual">
      <formula>$N38</formula>
    </cfRule>
  </conditionalFormatting>
  <conditionalFormatting sqref="N38:O38 R38 W38:X38">
    <cfRule type="expression" dxfId="888" priority="699" stopIfTrue="1">
      <formula>$C38=1</formula>
    </cfRule>
    <cfRule type="expression" dxfId="887" priority="700" stopIfTrue="1">
      <formula>OR($C38=0,$C38=2,$C38=3,$C38=4)</formula>
    </cfRule>
  </conditionalFormatting>
  <conditionalFormatting sqref="V38">
    <cfRule type="expression" dxfId="886" priority="701" stopIfTrue="1">
      <formula>$C38=1</formula>
    </cfRule>
    <cfRule type="expression" dxfId="885" priority="702" stopIfTrue="1">
      <formula>OR($C38=0,$C38=2,$C38=3,$C38=4)</formula>
    </cfRule>
    <cfRule type="expression" dxfId="884" priority="703" stopIfTrue="1">
      <formula>AND(TIPOORCAMENTO="Licitado",$C38&lt;&gt;"L",$C38&lt;&gt;-1)</formula>
    </cfRule>
  </conditionalFormatting>
  <conditionalFormatting sqref="P38:Q38 S38:T38 Y38 AG38:AH38">
    <cfRule type="expression" dxfId="883" priority="704" stopIfTrue="1">
      <formula>$C38=1</formula>
    </cfRule>
    <cfRule type="expression" dxfId="882" priority="705" stopIfTrue="1">
      <formula>OR($C38=0,$C38=2,$C38=3,$C38=4)</formula>
    </cfRule>
  </conditionalFormatting>
  <conditionalFormatting sqref="AJ38">
    <cfRule type="expression" dxfId="881" priority="706" stopIfTrue="1">
      <formula>OR(ACOMPANHAMENTO&lt;&gt;"BM",TIPOORCAMENTO="Licitado")</formula>
    </cfRule>
    <cfRule type="expression" dxfId="880" priority="707" stopIfTrue="1">
      <formula>$C38=1</formula>
    </cfRule>
    <cfRule type="expression" dxfId="879" priority="708" stopIfTrue="1">
      <formula>OR(AND(ISNUMBER($C38),$C38=0),$C38=2,$C38=3,$C38=4)</formula>
    </cfRule>
  </conditionalFormatting>
  <conditionalFormatting sqref="AL38">
    <cfRule type="expression" dxfId="878" priority="709" stopIfTrue="1">
      <formula>TIPOORCAMENTO="PROPOSTO"</formula>
    </cfRule>
    <cfRule type="expression" dxfId="877" priority="710" stopIfTrue="1">
      <formula>$C38=1</formula>
    </cfRule>
    <cfRule type="expression" dxfId="876" priority="711" stopIfTrue="1">
      <formula>OR(AND(ISNUMBER($C38),$C38=0),$C38=2,$C38=3,$C38=4)</formula>
    </cfRule>
  </conditionalFormatting>
  <conditionalFormatting sqref="AM38:AN38">
    <cfRule type="expression" dxfId="875" priority="712" stopIfTrue="1">
      <formula>TIPOORCAMENTO="PROPOSTO"</formula>
    </cfRule>
    <cfRule type="expression" dxfId="874" priority="713" stopIfTrue="1">
      <formula>$C38=1</formula>
    </cfRule>
    <cfRule type="expression" dxfId="873" priority="714" stopIfTrue="1">
      <formula>OR(AND(ISNUMBER($C38),$C38=0),$C38=2,$C38=3,$C38=4)</formula>
    </cfRule>
  </conditionalFormatting>
  <conditionalFormatting sqref="M20">
    <cfRule type="cellIs" dxfId="872" priority="664" stopIfTrue="1" operator="notEqual">
      <formula>$N20</formula>
    </cfRule>
  </conditionalFormatting>
  <conditionalFormatting sqref="N20:O20 R20 W20:X20">
    <cfRule type="expression" dxfId="871" priority="665" stopIfTrue="1">
      <formula>$C20=1</formula>
    </cfRule>
    <cfRule type="expression" dxfId="870" priority="666" stopIfTrue="1">
      <formula>OR($C20=0,$C20=2,$C20=3,$C20=4)</formula>
    </cfRule>
  </conditionalFormatting>
  <conditionalFormatting sqref="V20">
    <cfRule type="expression" dxfId="869" priority="667" stopIfTrue="1">
      <formula>$C20=1</formula>
    </cfRule>
    <cfRule type="expression" dxfId="868" priority="668" stopIfTrue="1">
      <formula>OR($C20=0,$C20=2,$C20=3,$C20=4)</formula>
    </cfRule>
    <cfRule type="expression" dxfId="867" priority="669" stopIfTrue="1">
      <formula>AND(TIPOORCAMENTO="Licitado",$C20&lt;&gt;"L",$C20&lt;&gt;-1)</formula>
    </cfRule>
  </conditionalFormatting>
  <conditionalFormatting sqref="P20:Q20 S20:T20 Y20 AG20:AH20">
    <cfRule type="expression" dxfId="866" priority="670" stopIfTrue="1">
      <formula>$C20=1</formula>
    </cfRule>
    <cfRule type="expression" dxfId="865" priority="671" stopIfTrue="1">
      <formula>OR($C20=0,$C20=2,$C20=3,$C20=4)</formula>
    </cfRule>
  </conditionalFormatting>
  <conditionalFormatting sqref="AJ20">
    <cfRule type="expression" dxfId="864" priority="672" stopIfTrue="1">
      <formula>OR(ACOMPANHAMENTO&lt;&gt;"BM",TIPOORCAMENTO="Licitado")</formula>
    </cfRule>
    <cfRule type="expression" dxfId="863" priority="673" stopIfTrue="1">
      <formula>$C20=1</formula>
    </cfRule>
    <cfRule type="expression" dxfId="862" priority="674" stopIfTrue="1">
      <formula>OR(AND(ISNUMBER($C20),$C20=0),$C20=2,$C20=3,$C20=4)</formula>
    </cfRule>
  </conditionalFormatting>
  <conditionalFormatting sqref="AL20">
    <cfRule type="expression" dxfId="861" priority="675" stopIfTrue="1">
      <formula>TIPOORCAMENTO="PROPOSTO"</formula>
    </cfRule>
    <cfRule type="expression" dxfId="860" priority="676" stopIfTrue="1">
      <formula>$C20=1</formula>
    </cfRule>
    <cfRule type="expression" dxfId="859" priority="677" stopIfTrue="1">
      <formula>OR(AND(ISNUMBER($C20),$C20=0),$C20=2,$C20=3,$C20=4)</formula>
    </cfRule>
  </conditionalFormatting>
  <conditionalFormatting sqref="AM20:AN20">
    <cfRule type="expression" dxfId="858" priority="678" stopIfTrue="1">
      <formula>TIPOORCAMENTO="PROPOSTO"</formula>
    </cfRule>
    <cfRule type="expression" dxfId="857" priority="679" stopIfTrue="1">
      <formula>$C20=1</formula>
    </cfRule>
    <cfRule type="expression" dxfId="856" priority="680" stopIfTrue="1">
      <formula>OR(AND(ISNUMBER($C20),$C20=0),$C20=2,$C20=3,$C20=4)</formula>
    </cfRule>
  </conditionalFormatting>
  <conditionalFormatting sqref="M21:M22 M24">
    <cfRule type="cellIs" dxfId="855" priority="647" stopIfTrue="1" operator="notEqual">
      <formula>$N21</formula>
    </cfRule>
  </conditionalFormatting>
  <conditionalFormatting sqref="W21:X22 R21:R22 N21:O22 N24:O24 R24 W24:X24">
    <cfRule type="expression" dxfId="854" priority="648" stopIfTrue="1">
      <formula>$C21=1</formula>
    </cfRule>
    <cfRule type="expression" dxfId="853" priority="649" stopIfTrue="1">
      <formula>OR($C21=0,$C21=2,$C21=3,$C21=4)</formula>
    </cfRule>
  </conditionalFormatting>
  <conditionalFormatting sqref="V21:V22 V24">
    <cfRule type="expression" dxfId="852" priority="650" stopIfTrue="1">
      <formula>$C21=1</formula>
    </cfRule>
    <cfRule type="expression" dxfId="851" priority="651" stopIfTrue="1">
      <formula>OR($C21=0,$C21=2,$C21=3,$C21=4)</formula>
    </cfRule>
    <cfRule type="expression" dxfId="850" priority="652" stopIfTrue="1">
      <formula>AND(TIPOORCAMENTO="Licitado",$C21&lt;&gt;"L",$C21&lt;&gt;-1)</formula>
    </cfRule>
  </conditionalFormatting>
  <conditionalFormatting sqref="AG21:AH22 Y21:Y22 S21:T22 P21:Q22 P24:Q24 S24:T24 Y24 AG24:AH24">
    <cfRule type="expression" dxfId="849" priority="653" stopIfTrue="1">
      <formula>$C21=1</formula>
    </cfRule>
    <cfRule type="expression" dxfId="848" priority="654" stopIfTrue="1">
      <formula>OR($C21=0,$C21=2,$C21=3,$C21=4)</formula>
    </cfRule>
  </conditionalFormatting>
  <conditionalFormatting sqref="AJ21:AJ22 AJ24">
    <cfRule type="expression" dxfId="847" priority="655" stopIfTrue="1">
      <formula>OR(ACOMPANHAMENTO&lt;&gt;"BM",TIPOORCAMENTO="Licitado")</formula>
    </cfRule>
    <cfRule type="expression" dxfId="846" priority="656" stopIfTrue="1">
      <formula>$C21=1</formula>
    </cfRule>
    <cfRule type="expression" dxfId="845" priority="657" stopIfTrue="1">
      <formula>OR(AND(ISNUMBER($C21),$C21=0),$C21=2,$C21=3,$C21=4)</formula>
    </cfRule>
  </conditionalFormatting>
  <conditionalFormatting sqref="AL21:AL22 AL24">
    <cfRule type="expression" dxfId="844" priority="658" stopIfTrue="1">
      <formula>TIPOORCAMENTO="PROPOSTO"</formula>
    </cfRule>
    <cfRule type="expression" dxfId="843" priority="659" stopIfTrue="1">
      <formula>$C21=1</formula>
    </cfRule>
    <cfRule type="expression" dxfId="842" priority="660" stopIfTrue="1">
      <formula>OR(AND(ISNUMBER($C21),$C21=0),$C21=2,$C21=3,$C21=4)</formula>
    </cfRule>
  </conditionalFormatting>
  <conditionalFormatting sqref="AM21:AN22 AM24:AN24">
    <cfRule type="expression" dxfId="841" priority="661" stopIfTrue="1">
      <formula>TIPOORCAMENTO="PROPOSTO"</formula>
    </cfRule>
    <cfRule type="expression" dxfId="840" priority="662" stopIfTrue="1">
      <formula>$C21=1</formula>
    </cfRule>
    <cfRule type="expression" dxfId="839" priority="663" stopIfTrue="1">
      <formula>OR(AND(ISNUMBER($C21),$C21=0),$C21=2,$C21=3,$C21=4)</formula>
    </cfRule>
  </conditionalFormatting>
  <conditionalFormatting sqref="M25">
    <cfRule type="cellIs" dxfId="838" priority="630" stopIfTrue="1" operator="notEqual">
      <formula>$N25</formula>
    </cfRule>
  </conditionalFormatting>
  <conditionalFormatting sqref="N25:O25 R25 W25:X25">
    <cfRule type="expression" dxfId="837" priority="631" stopIfTrue="1">
      <formula>$C25=1</formula>
    </cfRule>
    <cfRule type="expression" dxfId="836" priority="632" stopIfTrue="1">
      <formula>OR($C25=0,$C25=2,$C25=3,$C25=4)</formula>
    </cfRule>
  </conditionalFormatting>
  <conditionalFormatting sqref="V25">
    <cfRule type="expression" dxfId="835" priority="633" stopIfTrue="1">
      <formula>$C25=1</formula>
    </cfRule>
    <cfRule type="expression" dxfId="834" priority="634" stopIfTrue="1">
      <formula>OR($C25=0,$C25=2,$C25=3,$C25=4)</formula>
    </cfRule>
    <cfRule type="expression" dxfId="833" priority="635" stopIfTrue="1">
      <formula>AND(TIPOORCAMENTO="Licitado",$C25&lt;&gt;"L",$C25&lt;&gt;-1)</formula>
    </cfRule>
  </conditionalFormatting>
  <conditionalFormatting sqref="P25:Q25 S25:T25 Y25 AG25:AH25">
    <cfRule type="expression" dxfId="832" priority="636" stopIfTrue="1">
      <formula>$C25=1</formula>
    </cfRule>
    <cfRule type="expression" dxfId="831" priority="637" stopIfTrue="1">
      <formula>OR($C25=0,$C25=2,$C25=3,$C25=4)</formula>
    </cfRule>
  </conditionalFormatting>
  <conditionalFormatting sqref="AJ25">
    <cfRule type="expression" dxfId="830" priority="638" stopIfTrue="1">
      <formula>OR(ACOMPANHAMENTO&lt;&gt;"BM",TIPOORCAMENTO="Licitado")</formula>
    </cfRule>
    <cfRule type="expression" dxfId="829" priority="639" stopIfTrue="1">
      <formula>$C25=1</formula>
    </cfRule>
    <cfRule type="expression" dxfId="828" priority="640" stopIfTrue="1">
      <formula>OR(AND(ISNUMBER($C25),$C25=0),$C25=2,$C25=3,$C25=4)</formula>
    </cfRule>
  </conditionalFormatting>
  <conditionalFormatting sqref="AL25">
    <cfRule type="expression" dxfId="827" priority="641" stopIfTrue="1">
      <formula>TIPOORCAMENTO="PROPOSTO"</formula>
    </cfRule>
    <cfRule type="expression" dxfId="826" priority="642" stopIfTrue="1">
      <formula>$C25=1</formula>
    </cfRule>
    <cfRule type="expression" dxfId="825" priority="643" stopIfTrue="1">
      <formula>OR(AND(ISNUMBER($C25),$C25=0),$C25=2,$C25=3,$C25=4)</formula>
    </cfRule>
  </conditionalFormatting>
  <conditionalFormatting sqref="AM25:AN25">
    <cfRule type="expression" dxfId="824" priority="644" stopIfTrue="1">
      <formula>TIPOORCAMENTO="PROPOSTO"</formula>
    </cfRule>
    <cfRule type="expression" dxfId="823" priority="645" stopIfTrue="1">
      <formula>$C25=1</formula>
    </cfRule>
    <cfRule type="expression" dxfId="822" priority="646" stopIfTrue="1">
      <formula>OR(AND(ISNUMBER($C25),$C25=0),$C25=2,$C25=3,$C25=4)</formula>
    </cfRule>
  </conditionalFormatting>
  <conditionalFormatting sqref="M48">
    <cfRule type="cellIs" dxfId="821" priority="579" stopIfTrue="1" operator="notEqual">
      <formula>$N48</formula>
    </cfRule>
  </conditionalFormatting>
  <conditionalFormatting sqref="N48:O48 R48 W48:X48">
    <cfRule type="expression" dxfId="820" priority="580" stopIfTrue="1">
      <formula>$C48=1</formula>
    </cfRule>
    <cfRule type="expression" dxfId="819" priority="581" stopIfTrue="1">
      <formula>OR($C48=0,$C48=2,$C48=3,$C48=4)</formula>
    </cfRule>
  </conditionalFormatting>
  <conditionalFormatting sqref="V48">
    <cfRule type="expression" dxfId="818" priority="582" stopIfTrue="1">
      <formula>$C48=1</formula>
    </cfRule>
    <cfRule type="expression" dxfId="817" priority="583" stopIfTrue="1">
      <formula>OR($C48=0,$C48=2,$C48=3,$C48=4)</formula>
    </cfRule>
    <cfRule type="expression" dxfId="816" priority="584" stopIfTrue="1">
      <formula>AND(TIPOORCAMENTO="Licitado",$C48&lt;&gt;"L",$C48&lt;&gt;-1)</formula>
    </cfRule>
  </conditionalFormatting>
  <conditionalFormatting sqref="P48:Q48 S48:T48 Y48 AG48:AH48">
    <cfRule type="expression" dxfId="815" priority="585" stopIfTrue="1">
      <formula>$C48=1</formula>
    </cfRule>
    <cfRule type="expression" dxfId="814" priority="586" stopIfTrue="1">
      <formula>OR($C48=0,$C48=2,$C48=3,$C48=4)</formula>
    </cfRule>
  </conditionalFormatting>
  <conditionalFormatting sqref="AJ48">
    <cfRule type="expression" dxfId="813" priority="587" stopIfTrue="1">
      <formula>OR(ACOMPANHAMENTO&lt;&gt;"BM",TIPOORCAMENTO="Licitado")</formula>
    </cfRule>
    <cfRule type="expression" dxfId="812" priority="588" stopIfTrue="1">
      <formula>$C48=1</formula>
    </cfRule>
    <cfRule type="expression" dxfId="811" priority="589" stopIfTrue="1">
      <formula>OR(AND(ISNUMBER($C48),$C48=0),$C48=2,$C48=3,$C48=4)</formula>
    </cfRule>
  </conditionalFormatting>
  <conditionalFormatting sqref="AL48">
    <cfRule type="expression" dxfId="810" priority="590" stopIfTrue="1">
      <formula>TIPOORCAMENTO="PROPOSTO"</formula>
    </cfRule>
    <cfRule type="expression" dxfId="809" priority="591" stopIfTrue="1">
      <formula>$C48=1</formula>
    </cfRule>
    <cfRule type="expression" dxfId="808" priority="592" stopIfTrue="1">
      <formula>OR(AND(ISNUMBER($C48),$C48=0),$C48=2,$C48=3,$C48=4)</formula>
    </cfRule>
  </conditionalFormatting>
  <conditionalFormatting sqref="AM48:AN48">
    <cfRule type="expression" dxfId="807" priority="593" stopIfTrue="1">
      <formula>TIPOORCAMENTO="PROPOSTO"</formula>
    </cfRule>
    <cfRule type="expression" dxfId="806" priority="594" stopIfTrue="1">
      <formula>$C48=1</formula>
    </cfRule>
    <cfRule type="expression" dxfId="805" priority="595" stopIfTrue="1">
      <formula>OR(AND(ISNUMBER($C48),$C48=0),$C48=2,$C48=3,$C48=4)</formula>
    </cfRule>
  </conditionalFormatting>
  <conditionalFormatting sqref="M33">
    <cfRule type="cellIs" dxfId="804" priority="562" stopIfTrue="1" operator="notEqual">
      <formula>$N33</formula>
    </cfRule>
  </conditionalFormatting>
  <conditionalFormatting sqref="N33:O33 R33 W33:X33">
    <cfRule type="expression" dxfId="803" priority="563" stopIfTrue="1">
      <formula>$C33=1</formula>
    </cfRule>
    <cfRule type="expression" dxfId="802" priority="564" stopIfTrue="1">
      <formula>OR($C33=0,$C33=2,$C33=3,$C33=4)</formula>
    </cfRule>
  </conditionalFormatting>
  <conditionalFormatting sqref="V33">
    <cfRule type="expression" dxfId="801" priority="565" stopIfTrue="1">
      <formula>$C33=1</formula>
    </cfRule>
    <cfRule type="expression" dxfId="800" priority="566" stopIfTrue="1">
      <formula>OR($C33=0,$C33=2,$C33=3,$C33=4)</formula>
    </cfRule>
    <cfRule type="expression" dxfId="799" priority="567" stopIfTrue="1">
      <formula>AND(TIPOORCAMENTO="Licitado",$C33&lt;&gt;"L",$C33&lt;&gt;-1)</formula>
    </cfRule>
  </conditionalFormatting>
  <conditionalFormatting sqref="P33:Q33 S33:T33 Y33 AG33:AH33">
    <cfRule type="expression" dxfId="798" priority="568" stopIfTrue="1">
      <formula>$C33=1</formula>
    </cfRule>
    <cfRule type="expression" dxfId="797" priority="569" stopIfTrue="1">
      <formula>OR($C33=0,$C33=2,$C33=3,$C33=4)</formula>
    </cfRule>
  </conditionalFormatting>
  <conditionalFormatting sqref="AJ33">
    <cfRule type="expression" dxfId="796" priority="570" stopIfTrue="1">
      <formula>OR(ACOMPANHAMENTO&lt;&gt;"BM",TIPOORCAMENTO="Licitado")</formula>
    </cfRule>
    <cfRule type="expression" dxfId="795" priority="571" stopIfTrue="1">
      <formula>$C33=1</formula>
    </cfRule>
    <cfRule type="expression" dxfId="794" priority="572" stopIfTrue="1">
      <formula>OR(AND(ISNUMBER($C33),$C33=0),$C33=2,$C33=3,$C33=4)</formula>
    </cfRule>
  </conditionalFormatting>
  <conditionalFormatting sqref="AL33">
    <cfRule type="expression" dxfId="793" priority="573" stopIfTrue="1">
      <formula>TIPOORCAMENTO="PROPOSTO"</formula>
    </cfRule>
    <cfRule type="expression" dxfId="792" priority="574" stopIfTrue="1">
      <formula>$C33=1</formula>
    </cfRule>
    <cfRule type="expression" dxfId="791" priority="575" stopIfTrue="1">
      <formula>OR(AND(ISNUMBER($C33),$C33=0),$C33=2,$C33=3,$C33=4)</formula>
    </cfRule>
  </conditionalFormatting>
  <conditionalFormatting sqref="AM33:AN33">
    <cfRule type="expression" dxfId="790" priority="576" stopIfTrue="1">
      <formula>TIPOORCAMENTO="PROPOSTO"</formula>
    </cfRule>
    <cfRule type="expression" dxfId="789" priority="577" stopIfTrue="1">
      <formula>$C33=1</formula>
    </cfRule>
    <cfRule type="expression" dxfId="788" priority="578" stopIfTrue="1">
      <formula>OR(AND(ISNUMBER($C33),$C33=0),$C33=2,$C33=3,$C33=4)</formula>
    </cfRule>
  </conditionalFormatting>
  <conditionalFormatting sqref="M50:M52">
    <cfRule type="cellIs" dxfId="787" priority="511" stopIfTrue="1" operator="notEqual">
      <formula>$N50</formula>
    </cfRule>
  </conditionalFormatting>
  <conditionalFormatting sqref="N50:O52 R50:R52 W50:X52">
    <cfRule type="expression" dxfId="786" priority="512" stopIfTrue="1">
      <formula>$C50=1</formula>
    </cfRule>
    <cfRule type="expression" dxfId="785" priority="513" stopIfTrue="1">
      <formula>OR($C50=0,$C50=2,$C50=3,$C50=4)</formula>
    </cfRule>
  </conditionalFormatting>
  <conditionalFormatting sqref="V50:V52">
    <cfRule type="expression" dxfId="784" priority="514" stopIfTrue="1">
      <formula>$C50=1</formula>
    </cfRule>
    <cfRule type="expression" dxfId="783" priority="515" stopIfTrue="1">
      <formula>OR($C50=0,$C50=2,$C50=3,$C50=4)</formula>
    </cfRule>
    <cfRule type="expression" dxfId="782" priority="516" stopIfTrue="1">
      <formula>AND(TIPOORCAMENTO="Licitado",$C50&lt;&gt;"L",$C50&lt;&gt;-1)</formula>
    </cfRule>
  </conditionalFormatting>
  <conditionalFormatting sqref="P50:Q52 S50:T52 Y50:Y52 AG50:AH52">
    <cfRule type="expression" dxfId="781" priority="517" stopIfTrue="1">
      <formula>$C50=1</formula>
    </cfRule>
    <cfRule type="expression" dxfId="780" priority="518" stopIfTrue="1">
      <formula>OR($C50=0,$C50=2,$C50=3,$C50=4)</formula>
    </cfRule>
  </conditionalFormatting>
  <conditionalFormatting sqref="AJ50:AJ52">
    <cfRule type="expression" dxfId="779" priority="519" stopIfTrue="1">
      <formula>OR(ACOMPANHAMENTO&lt;&gt;"BM",TIPOORCAMENTO="Licitado")</formula>
    </cfRule>
    <cfRule type="expression" dxfId="778" priority="520" stopIfTrue="1">
      <formula>$C50=1</formula>
    </cfRule>
    <cfRule type="expression" dxfId="777" priority="521" stopIfTrue="1">
      <formula>OR(AND(ISNUMBER($C50),$C50=0),$C50=2,$C50=3,$C50=4)</formula>
    </cfRule>
  </conditionalFormatting>
  <conditionalFormatting sqref="AL50:AL52">
    <cfRule type="expression" dxfId="776" priority="522" stopIfTrue="1">
      <formula>TIPOORCAMENTO="PROPOSTO"</formula>
    </cfRule>
    <cfRule type="expression" dxfId="775" priority="523" stopIfTrue="1">
      <formula>$C50=1</formula>
    </cfRule>
    <cfRule type="expression" dxfId="774" priority="524" stopIfTrue="1">
      <formula>OR(AND(ISNUMBER($C50),$C50=0),$C50=2,$C50=3,$C50=4)</formula>
    </cfRule>
  </conditionalFormatting>
  <conditionalFormatting sqref="AM50:AN52">
    <cfRule type="expression" dxfId="773" priority="525" stopIfTrue="1">
      <formula>TIPOORCAMENTO="PROPOSTO"</formula>
    </cfRule>
    <cfRule type="expression" dxfId="772" priority="526" stopIfTrue="1">
      <formula>$C50=1</formula>
    </cfRule>
    <cfRule type="expression" dxfId="771" priority="527" stopIfTrue="1">
      <formula>OR(AND(ISNUMBER($C50),$C50=0),$C50=2,$C50=3,$C50=4)</formula>
    </cfRule>
  </conditionalFormatting>
  <conditionalFormatting sqref="M36">
    <cfRule type="cellIs" dxfId="770" priority="494" stopIfTrue="1" operator="notEqual">
      <formula>$N36</formula>
    </cfRule>
  </conditionalFormatting>
  <conditionalFormatting sqref="N36:O36 R36 W36:X36">
    <cfRule type="expression" dxfId="769" priority="495" stopIfTrue="1">
      <formula>$C36=1</formula>
    </cfRule>
    <cfRule type="expression" dxfId="768" priority="496" stopIfTrue="1">
      <formula>OR($C36=0,$C36=2,$C36=3,$C36=4)</formula>
    </cfRule>
  </conditionalFormatting>
  <conditionalFormatting sqref="V36">
    <cfRule type="expression" dxfId="767" priority="497" stopIfTrue="1">
      <formula>$C36=1</formula>
    </cfRule>
    <cfRule type="expression" dxfId="766" priority="498" stopIfTrue="1">
      <formula>OR($C36=0,$C36=2,$C36=3,$C36=4)</formula>
    </cfRule>
    <cfRule type="expression" dxfId="765" priority="499" stopIfTrue="1">
      <formula>AND(TIPOORCAMENTO="Licitado",$C36&lt;&gt;"L",$C36&lt;&gt;-1)</formula>
    </cfRule>
  </conditionalFormatting>
  <conditionalFormatting sqref="P36:Q36 S36:T36 Y36 AG36:AH36">
    <cfRule type="expression" dxfId="764" priority="500" stopIfTrue="1">
      <formula>$C36=1</formula>
    </cfRule>
    <cfRule type="expression" dxfId="763" priority="501" stopIfTrue="1">
      <formula>OR($C36=0,$C36=2,$C36=3,$C36=4)</formula>
    </cfRule>
  </conditionalFormatting>
  <conditionalFormatting sqref="AJ36">
    <cfRule type="expression" dxfId="762" priority="502" stopIfTrue="1">
      <formula>OR(ACOMPANHAMENTO&lt;&gt;"BM",TIPOORCAMENTO="Licitado")</formula>
    </cfRule>
    <cfRule type="expression" dxfId="761" priority="503" stopIfTrue="1">
      <formula>$C36=1</formula>
    </cfRule>
    <cfRule type="expression" dxfId="760" priority="504" stopIfTrue="1">
      <formula>OR(AND(ISNUMBER($C36),$C36=0),$C36=2,$C36=3,$C36=4)</formula>
    </cfRule>
  </conditionalFormatting>
  <conditionalFormatting sqref="AL36">
    <cfRule type="expression" dxfId="759" priority="505" stopIfTrue="1">
      <formula>TIPOORCAMENTO="PROPOSTO"</formula>
    </cfRule>
    <cfRule type="expression" dxfId="758" priority="506" stopIfTrue="1">
      <formula>$C36=1</formula>
    </cfRule>
    <cfRule type="expression" dxfId="757" priority="507" stopIfTrue="1">
      <formula>OR(AND(ISNUMBER($C36),$C36=0),$C36=2,$C36=3,$C36=4)</formula>
    </cfRule>
  </conditionalFormatting>
  <conditionalFormatting sqref="AM36:AN36">
    <cfRule type="expression" dxfId="756" priority="508" stopIfTrue="1">
      <formula>TIPOORCAMENTO="PROPOSTO"</formula>
    </cfRule>
    <cfRule type="expression" dxfId="755" priority="509" stopIfTrue="1">
      <formula>$C36=1</formula>
    </cfRule>
    <cfRule type="expression" dxfId="754" priority="510" stopIfTrue="1">
      <formula>OR(AND(ISNUMBER($C36),$C36=0),$C36=2,$C36=3,$C36=4)</formula>
    </cfRule>
  </conditionalFormatting>
  <conditionalFormatting sqref="M35">
    <cfRule type="cellIs" dxfId="753" priority="477" stopIfTrue="1" operator="notEqual">
      <formula>$N35</formula>
    </cfRule>
  </conditionalFormatting>
  <conditionalFormatting sqref="N35:O35 R35 W35:X35">
    <cfRule type="expression" dxfId="752" priority="478" stopIfTrue="1">
      <formula>$C35=1</formula>
    </cfRule>
    <cfRule type="expression" dxfId="751" priority="479" stopIfTrue="1">
      <formula>OR($C35=0,$C35=2,$C35=3,$C35=4)</formula>
    </cfRule>
  </conditionalFormatting>
  <conditionalFormatting sqref="V35">
    <cfRule type="expression" dxfId="750" priority="480" stopIfTrue="1">
      <formula>$C35=1</formula>
    </cfRule>
    <cfRule type="expression" dxfId="749" priority="481" stopIfTrue="1">
      <formula>OR($C35=0,$C35=2,$C35=3,$C35=4)</formula>
    </cfRule>
    <cfRule type="expression" dxfId="748" priority="482" stopIfTrue="1">
      <formula>AND(TIPOORCAMENTO="Licitado",$C35&lt;&gt;"L",$C35&lt;&gt;-1)</formula>
    </cfRule>
  </conditionalFormatting>
  <conditionalFormatting sqref="P35:Q35 S35:T35 Y35 AG35:AH35">
    <cfRule type="expression" dxfId="747" priority="483" stopIfTrue="1">
      <formula>$C35=1</formula>
    </cfRule>
    <cfRule type="expression" dxfId="746" priority="484" stopIfTrue="1">
      <formula>OR($C35=0,$C35=2,$C35=3,$C35=4)</formula>
    </cfRule>
  </conditionalFormatting>
  <conditionalFormatting sqref="AJ35">
    <cfRule type="expression" dxfId="745" priority="485" stopIfTrue="1">
      <formula>OR(ACOMPANHAMENTO&lt;&gt;"BM",TIPOORCAMENTO="Licitado")</formula>
    </cfRule>
    <cfRule type="expression" dxfId="744" priority="486" stopIfTrue="1">
      <formula>$C35=1</formula>
    </cfRule>
    <cfRule type="expression" dxfId="743" priority="487" stopIfTrue="1">
      <formula>OR(AND(ISNUMBER($C35),$C35=0),$C35=2,$C35=3,$C35=4)</formula>
    </cfRule>
  </conditionalFormatting>
  <conditionalFormatting sqref="AL35">
    <cfRule type="expression" dxfId="742" priority="488" stopIfTrue="1">
      <formula>TIPOORCAMENTO="PROPOSTO"</formula>
    </cfRule>
    <cfRule type="expression" dxfId="741" priority="489" stopIfTrue="1">
      <formula>$C35=1</formula>
    </cfRule>
    <cfRule type="expression" dxfId="740" priority="490" stopIfTrue="1">
      <formula>OR(AND(ISNUMBER($C35),$C35=0),$C35=2,$C35=3,$C35=4)</formula>
    </cfRule>
  </conditionalFormatting>
  <conditionalFormatting sqref="AM35:AN35">
    <cfRule type="expression" dxfId="739" priority="491" stopIfTrue="1">
      <formula>TIPOORCAMENTO="PROPOSTO"</formula>
    </cfRule>
    <cfRule type="expression" dxfId="738" priority="492" stopIfTrue="1">
      <formula>$C35=1</formula>
    </cfRule>
    <cfRule type="expression" dxfId="737" priority="493" stopIfTrue="1">
      <formula>OR(AND(ISNUMBER($C35),$C35=0),$C35=2,$C35=3,$C35=4)</formula>
    </cfRule>
  </conditionalFormatting>
  <conditionalFormatting sqref="M76:M77">
    <cfRule type="cellIs" dxfId="736" priority="409" stopIfTrue="1" operator="notEqual">
      <formula>$N76</formula>
    </cfRule>
  </conditionalFormatting>
  <conditionalFormatting sqref="N76:O77 R76:R77 W76:X77">
    <cfRule type="expression" dxfId="735" priority="410" stopIfTrue="1">
      <formula>$C76=1</formula>
    </cfRule>
    <cfRule type="expression" dxfId="734" priority="411" stopIfTrue="1">
      <formula>OR($C76=0,$C76=2,$C76=3,$C76=4)</formula>
    </cfRule>
  </conditionalFormatting>
  <conditionalFormatting sqref="V76:V77">
    <cfRule type="expression" dxfId="733" priority="412" stopIfTrue="1">
      <formula>$C76=1</formula>
    </cfRule>
    <cfRule type="expression" dxfId="732" priority="413" stopIfTrue="1">
      <formula>OR($C76=0,$C76=2,$C76=3,$C76=4)</formula>
    </cfRule>
    <cfRule type="expression" dxfId="731" priority="414" stopIfTrue="1">
      <formula>AND(TIPOORCAMENTO="Licitado",$C76&lt;&gt;"L",$C76&lt;&gt;-1)</formula>
    </cfRule>
  </conditionalFormatting>
  <conditionalFormatting sqref="P76:Q77 S76:T77 Y76:Y77 AG76:AH77">
    <cfRule type="expression" dxfId="730" priority="415" stopIfTrue="1">
      <formula>$C76=1</formula>
    </cfRule>
    <cfRule type="expression" dxfId="729" priority="416" stopIfTrue="1">
      <formula>OR($C76=0,$C76=2,$C76=3,$C76=4)</formula>
    </cfRule>
  </conditionalFormatting>
  <conditionalFormatting sqref="AJ76:AJ77">
    <cfRule type="expression" dxfId="728" priority="417" stopIfTrue="1">
      <formula>OR(ACOMPANHAMENTO&lt;&gt;"BM",TIPOORCAMENTO="Licitado")</formula>
    </cfRule>
    <cfRule type="expression" dxfId="727" priority="418" stopIfTrue="1">
      <formula>$C76=1</formula>
    </cfRule>
    <cfRule type="expression" dxfId="726" priority="419" stopIfTrue="1">
      <formula>OR(AND(ISNUMBER($C76),$C76=0),$C76=2,$C76=3,$C76=4)</formula>
    </cfRule>
  </conditionalFormatting>
  <conditionalFormatting sqref="AL76:AL77">
    <cfRule type="expression" dxfId="725" priority="420" stopIfTrue="1">
      <formula>TIPOORCAMENTO="PROPOSTO"</formula>
    </cfRule>
    <cfRule type="expression" dxfId="724" priority="421" stopIfTrue="1">
      <formula>$C76=1</formula>
    </cfRule>
    <cfRule type="expression" dxfId="723" priority="422" stopIfTrue="1">
      <formula>OR(AND(ISNUMBER($C76),$C76=0),$C76=2,$C76=3,$C76=4)</formula>
    </cfRule>
  </conditionalFormatting>
  <conditionalFormatting sqref="AM76:AN77">
    <cfRule type="expression" dxfId="722" priority="423" stopIfTrue="1">
      <formula>TIPOORCAMENTO="PROPOSTO"</formula>
    </cfRule>
    <cfRule type="expression" dxfId="721" priority="424" stopIfTrue="1">
      <formula>$C76=1</formula>
    </cfRule>
    <cfRule type="expression" dxfId="720" priority="425" stopIfTrue="1">
      <formula>OR(AND(ISNUMBER($C76),$C76=0),$C76=2,$C76=3,$C76=4)</formula>
    </cfRule>
  </conditionalFormatting>
  <conditionalFormatting sqref="M93 M101:M103 M95:M99">
    <cfRule type="cellIs" dxfId="719" priority="375" stopIfTrue="1" operator="notEqual">
      <formula>$N93</formula>
    </cfRule>
  </conditionalFormatting>
  <conditionalFormatting sqref="N93:O93 R93 W93:X93 W101:X103 R101:R103 N101:O103 W95:X99 R95:R99 N95:O99">
    <cfRule type="expression" dxfId="718" priority="376" stopIfTrue="1">
      <formula>$C93=1</formula>
    </cfRule>
    <cfRule type="expression" dxfId="717" priority="377" stopIfTrue="1">
      <formula>OR($C93=0,$C93=2,$C93=3,$C93=4)</formula>
    </cfRule>
  </conditionalFormatting>
  <conditionalFormatting sqref="V93 V101:V103 V95:V99">
    <cfRule type="expression" dxfId="716" priority="378" stopIfTrue="1">
      <formula>$C93=1</formula>
    </cfRule>
    <cfRule type="expression" dxfId="715" priority="379" stopIfTrue="1">
      <formula>OR($C93=0,$C93=2,$C93=3,$C93=4)</formula>
    </cfRule>
    <cfRule type="expression" dxfId="714" priority="380" stopIfTrue="1">
      <formula>AND(TIPOORCAMENTO="Licitado",$C93&lt;&gt;"L",$C93&lt;&gt;-1)</formula>
    </cfRule>
  </conditionalFormatting>
  <conditionalFormatting sqref="P93:Q93 S93:T93 Y93 AG93:AH93 AG101:AH103 Y101:Y103 S101:T103 P101:Q103 AG95:AH99 Y95:Y99 S95:T99 P95:Q99">
    <cfRule type="expression" dxfId="713" priority="381" stopIfTrue="1">
      <formula>$C93=1</formula>
    </cfRule>
    <cfRule type="expression" dxfId="712" priority="382" stopIfTrue="1">
      <formula>OR($C93=0,$C93=2,$C93=3,$C93=4)</formula>
    </cfRule>
  </conditionalFormatting>
  <conditionalFormatting sqref="AJ93 AJ101:AJ103 AJ95:AJ99">
    <cfRule type="expression" dxfId="711" priority="383" stopIfTrue="1">
      <formula>OR(ACOMPANHAMENTO&lt;&gt;"BM",TIPOORCAMENTO="Licitado")</formula>
    </cfRule>
    <cfRule type="expression" dxfId="710" priority="384" stopIfTrue="1">
      <formula>$C93=1</formula>
    </cfRule>
    <cfRule type="expression" dxfId="709" priority="385" stopIfTrue="1">
      <formula>OR(AND(ISNUMBER($C93),$C93=0),$C93=2,$C93=3,$C93=4)</formula>
    </cfRule>
  </conditionalFormatting>
  <conditionalFormatting sqref="AL93 AL101:AL103 AL95:AL99">
    <cfRule type="expression" dxfId="708" priority="386" stopIfTrue="1">
      <formula>TIPOORCAMENTO="PROPOSTO"</formula>
    </cfRule>
    <cfRule type="expression" dxfId="707" priority="387" stopIfTrue="1">
      <formula>$C93=1</formula>
    </cfRule>
    <cfRule type="expression" dxfId="706" priority="388" stopIfTrue="1">
      <formula>OR(AND(ISNUMBER($C93),$C93=0),$C93=2,$C93=3,$C93=4)</formula>
    </cfRule>
  </conditionalFormatting>
  <conditionalFormatting sqref="AM93:AN93 AM101:AN103 AM95:AN99">
    <cfRule type="expression" dxfId="705" priority="389" stopIfTrue="1">
      <formula>TIPOORCAMENTO="PROPOSTO"</formula>
    </cfRule>
    <cfRule type="expression" dxfId="704" priority="390" stopIfTrue="1">
      <formula>$C93=1</formula>
    </cfRule>
    <cfRule type="expression" dxfId="703" priority="391" stopIfTrue="1">
      <formula>OR(AND(ISNUMBER($C93),$C93=0),$C93=2,$C93=3,$C93=4)</formula>
    </cfRule>
  </conditionalFormatting>
  <conditionalFormatting sqref="M104:M105">
    <cfRule type="cellIs" dxfId="702" priority="358" stopIfTrue="1" operator="notEqual">
      <formula>$N104</formula>
    </cfRule>
  </conditionalFormatting>
  <conditionalFormatting sqref="N104:O105 R104:R105 W104:X105">
    <cfRule type="expression" dxfId="701" priority="359" stopIfTrue="1">
      <formula>$C104=1</formula>
    </cfRule>
    <cfRule type="expression" dxfId="700" priority="360" stopIfTrue="1">
      <formula>OR($C104=0,$C104=2,$C104=3,$C104=4)</formula>
    </cfRule>
  </conditionalFormatting>
  <conditionalFormatting sqref="V104:V105">
    <cfRule type="expression" dxfId="699" priority="361" stopIfTrue="1">
      <formula>$C104=1</formula>
    </cfRule>
    <cfRule type="expression" dxfId="698" priority="362" stopIfTrue="1">
      <formula>OR($C104=0,$C104=2,$C104=3,$C104=4)</formula>
    </cfRule>
    <cfRule type="expression" dxfId="697" priority="363" stopIfTrue="1">
      <formula>AND(TIPOORCAMENTO="Licitado",$C104&lt;&gt;"L",$C104&lt;&gt;-1)</formula>
    </cfRule>
  </conditionalFormatting>
  <conditionalFormatting sqref="P104:Q105 S104:T105 Y104:Y105 AG104:AH105">
    <cfRule type="expression" dxfId="696" priority="364" stopIfTrue="1">
      <formula>$C104=1</formula>
    </cfRule>
    <cfRule type="expression" dxfId="695" priority="365" stopIfTrue="1">
      <formula>OR($C104=0,$C104=2,$C104=3,$C104=4)</formula>
    </cfRule>
  </conditionalFormatting>
  <conditionalFormatting sqref="AJ104:AJ105">
    <cfRule type="expression" dxfId="694" priority="366" stopIfTrue="1">
      <formula>OR(ACOMPANHAMENTO&lt;&gt;"BM",TIPOORCAMENTO="Licitado")</formula>
    </cfRule>
    <cfRule type="expression" dxfId="693" priority="367" stopIfTrue="1">
      <formula>$C104=1</formula>
    </cfRule>
    <cfRule type="expression" dxfId="692" priority="368" stopIfTrue="1">
      <formula>OR(AND(ISNUMBER($C104),$C104=0),$C104=2,$C104=3,$C104=4)</formula>
    </cfRule>
  </conditionalFormatting>
  <conditionalFormatting sqref="AL104:AL105">
    <cfRule type="expression" dxfId="691" priority="369" stopIfTrue="1">
      <formula>TIPOORCAMENTO="PROPOSTO"</formula>
    </cfRule>
    <cfRule type="expression" dxfId="690" priority="370" stopIfTrue="1">
      <formula>$C104=1</formula>
    </cfRule>
    <cfRule type="expression" dxfId="689" priority="371" stopIfTrue="1">
      <formula>OR(AND(ISNUMBER($C104),$C104=0),$C104=2,$C104=3,$C104=4)</formula>
    </cfRule>
  </conditionalFormatting>
  <conditionalFormatting sqref="AM104:AN105">
    <cfRule type="expression" dxfId="688" priority="372" stopIfTrue="1">
      <formula>TIPOORCAMENTO="PROPOSTO"</formula>
    </cfRule>
    <cfRule type="expression" dxfId="687" priority="373" stopIfTrue="1">
      <formula>$C104=1</formula>
    </cfRule>
    <cfRule type="expression" dxfId="686" priority="374" stopIfTrue="1">
      <formula>OR(AND(ISNUMBER($C104),$C104=0),$C104=2,$C104=3,$C104=4)</formula>
    </cfRule>
  </conditionalFormatting>
  <conditionalFormatting sqref="M16">
    <cfRule type="cellIs" dxfId="685" priority="307" stopIfTrue="1" operator="notEqual">
      <formula>$N16</formula>
    </cfRule>
  </conditionalFormatting>
  <conditionalFormatting sqref="N16:O16 R16 W16:X16">
    <cfRule type="expression" dxfId="684" priority="308" stopIfTrue="1">
      <formula>$C16=1</formula>
    </cfRule>
    <cfRule type="expression" dxfId="683" priority="309" stopIfTrue="1">
      <formula>OR($C16=0,$C16=2,$C16=3,$C16=4)</formula>
    </cfRule>
  </conditionalFormatting>
  <conditionalFormatting sqref="U16:V16">
    <cfRule type="expression" dxfId="682" priority="310" stopIfTrue="1">
      <formula>$C16=1</formula>
    </cfRule>
    <cfRule type="expression" dxfId="681" priority="311" stopIfTrue="1">
      <formula>OR($C16=0,$C16=2,$C16=3,$C16=4)</formula>
    </cfRule>
    <cfRule type="expression" dxfId="680" priority="312" stopIfTrue="1">
      <formula>AND(TIPOORCAMENTO="Licitado",$C16&lt;&gt;"L",$C16&lt;&gt;-1)</formula>
    </cfRule>
  </conditionalFormatting>
  <conditionalFormatting sqref="P16:Q16 S16:T16 Y16 AG16:AH16">
    <cfRule type="expression" dxfId="679" priority="313" stopIfTrue="1">
      <formula>$C16=1</formula>
    </cfRule>
    <cfRule type="expression" dxfId="678" priority="314" stopIfTrue="1">
      <formula>OR($C16=0,$C16=2,$C16=3,$C16=4)</formula>
    </cfRule>
  </conditionalFormatting>
  <conditionalFormatting sqref="AJ16">
    <cfRule type="expression" dxfId="677" priority="315" stopIfTrue="1">
      <formula>OR(ACOMPANHAMENTO&lt;&gt;"BM",TIPOORCAMENTO="Licitado")</formula>
    </cfRule>
    <cfRule type="expression" dxfId="676" priority="316" stopIfTrue="1">
      <formula>$C16=1</formula>
    </cfRule>
    <cfRule type="expression" dxfId="675" priority="317" stopIfTrue="1">
      <formula>OR(AND(ISNUMBER($C16),$C16=0),$C16=2,$C16=3,$C16=4)</formula>
    </cfRule>
  </conditionalFormatting>
  <conditionalFormatting sqref="AL16">
    <cfRule type="expression" dxfId="674" priority="318" stopIfTrue="1">
      <formula>TIPOORCAMENTO="PROPOSTO"</formula>
    </cfRule>
    <cfRule type="expression" dxfId="673" priority="319" stopIfTrue="1">
      <formula>$C16=1</formula>
    </cfRule>
    <cfRule type="expression" dxfId="672" priority="320" stopIfTrue="1">
      <formula>OR(AND(ISNUMBER($C16),$C16=0),$C16=2,$C16=3,$C16=4)</formula>
    </cfRule>
  </conditionalFormatting>
  <conditionalFormatting sqref="AM16:AN16">
    <cfRule type="expression" dxfId="671" priority="321" stopIfTrue="1">
      <formula>TIPOORCAMENTO="PROPOSTO"</formula>
    </cfRule>
    <cfRule type="expression" dxfId="670" priority="322" stopIfTrue="1">
      <formula>$C16=1</formula>
    </cfRule>
    <cfRule type="expression" dxfId="669" priority="323" stopIfTrue="1">
      <formula>OR(AND(ISNUMBER($C16),$C16=0),$C16=2,$C16=3,$C16=4)</formula>
    </cfRule>
  </conditionalFormatting>
  <conditionalFormatting sqref="M37">
    <cfRule type="cellIs" dxfId="668" priority="293" stopIfTrue="1" operator="notEqual">
      <formula>$N37</formula>
    </cfRule>
  </conditionalFormatting>
  <conditionalFormatting sqref="N37:O37 R37 W37:X37">
    <cfRule type="expression" dxfId="667" priority="294" stopIfTrue="1">
      <formula>$C37=1</formula>
    </cfRule>
    <cfRule type="expression" dxfId="666" priority="295" stopIfTrue="1">
      <formula>OR($C37=0,$C37=2,$C37=3,$C37=4)</formula>
    </cfRule>
  </conditionalFormatting>
  <conditionalFormatting sqref="P37:Q37 S37:T37 Y37 AG37:AH37">
    <cfRule type="expression" dxfId="665" priority="296" stopIfTrue="1">
      <formula>$C37=1</formula>
    </cfRule>
    <cfRule type="expression" dxfId="664" priority="297" stopIfTrue="1">
      <formula>OR($C37=0,$C37=2,$C37=3,$C37=4)</formula>
    </cfRule>
  </conditionalFormatting>
  <conditionalFormatting sqref="AJ37">
    <cfRule type="expression" dxfId="663" priority="298" stopIfTrue="1">
      <formula>OR(ACOMPANHAMENTO&lt;&gt;"BM",TIPOORCAMENTO="Licitado")</formula>
    </cfRule>
    <cfRule type="expression" dxfId="662" priority="299" stopIfTrue="1">
      <formula>$C37=1</formula>
    </cfRule>
    <cfRule type="expression" dxfId="661" priority="300" stopIfTrue="1">
      <formula>OR(AND(ISNUMBER($C37),$C37=0),$C37=2,$C37=3,$C37=4)</formula>
    </cfRule>
  </conditionalFormatting>
  <conditionalFormatting sqref="AL37">
    <cfRule type="expression" dxfId="660" priority="301" stopIfTrue="1">
      <formula>TIPOORCAMENTO="PROPOSTO"</formula>
    </cfRule>
    <cfRule type="expression" dxfId="659" priority="302" stopIfTrue="1">
      <formula>$C37=1</formula>
    </cfRule>
    <cfRule type="expression" dxfId="658" priority="303" stopIfTrue="1">
      <formula>OR(AND(ISNUMBER($C37),$C37=0),$C37=2,$C37=3,$C37=4)</formula>
    </cfRule>
  </conditionalFormatting>
  <conditionalFormatting sqref="AM37:AN37">
    <cfRule type="expression" dxfId="657" priority="304" stopIfTrue="1">
      <formula>TIPOORCAMENTO="PROPOSTO"</formula>
    </cfRule>
    <cfRule type="expression" dxfId="656" priority="305" stopIfTrue="1">
      <formula>$C37=1</formula>
    </cfRule>
    <cfRule type="expression" dxfId="655" priority="306" stopIfTrue="1">
      <formula>OR(AND(ISNUMBER($C37),$C37=0),$C37=2,$C37=3,$C37=4)</formula>
    </cfRule>
  </conditionalFormatting>
  <conditionalFormatting sqref="AM53:AN53">
    <cfRule type="expression" dxfId="654" priority="290" stopIfTrue="1">
      <formula>TIPOORCAMENTO="PROPOSTO"</formula>
    </cfRule>
    <cfRule type="expression" dxfId="653" priority="291" stopIfTrue="1">
      <formula>$C53=1</formula>
    </cfRule>
    <cfRule type="expression" dxfId="652" priority="292" stopIfTrue="1">
      <formula>OR(AND(ISNUMBER($C53),$C53=0),$C53=2,$C53=3,$C53=4)</formula>
    </cfRule>
  </conditionalFormatting>
  <conditionalFormatting sqref="M58">
    <cfRule type="cellIs" dxfId="651" priority="273" stopIfTrue="1" operator="notEqual">
      <formula>$N58</formula>
    </cfRule>
  </conditionalFormatting>
  <conditionalFormatting sqref="N58:O58 R58 W58:X58">
    <cfRule type="expression" dxfId="650" priority="274" stopIfTrue="1">
      <formula>$C58=1</formula>
    </cfRule>
    <cfRule type="expression" dxfId="649" priority="275" stopIfTrue="1">
      <formula>OR($C58=0,$C58=2,$C58=3,$C58=4)</formula>
    </cfRule>
  </conditionalFormatting>
  <conditionalFormatting sqref="V58">
    <cfRule type="expression" dxfId="648" priority="276" stopIfTrue="1">
      <formula>$C58=1</formula>
    </cfRule>
    <cfRule type="expression" dxfId="647" priority="277" stopIfTrue="1">
      <formula>OR($C58=0,$C58=2,$C58=3,$C58=4)</formula>
    </cfRule>
    <cfRule type="expression" dxfId="646" priority="278" stopIfTrue="1">
      <formula>AND(TIPOORCAMENTO="Licitado",$C58&lt;&gt;"L",$C58&lt;&gt;-1)</formula>
    </cfRule>
  </conditionalFormatting>
  <conditionalFormatting sqref="P58:Q58 S58:T58 Y58 AG58:AH58">
    <cfRule type="expression" dxfId="645" priority="279" stopIfTrue="1">
      <formula>$C58=1</formula>
    </cfRule>
    <cfRule type="expression" dxfId="644" priority="280" stopIfTrue="1">
      <formula>OR($C58=0,$C58=2,$C58=3,$C58=4)</formula>
    </cfRule>
  </conditionalFormatting>
  <conditionalFormatting sqref="AJ58">
    <cfRule type="expression" dxfId="643" priority="281" stopIfTrue="1">
      <formula>OR(ACOMPANHAMENTO&lt;&gt;"BM",TIPOORCAMENTO="Licitado")</formula>
    </cfRule>
    <cfRule type="expression" dxfId="642" priority="282" stopIfTrue="1">
      <formula>$C58=1</formula>
    </cfRule>
    <cfRule type="expression" dxfId="641" priority="283" stopIfTrue="1">
      <formula>OR(AND(ISNUMBER($C58),$C58=0),$C58=2,$C58=3,$C58=4)</formula>
    </cfRule>
  </conditionalFormatting>
  <conditionalFormatting sqref="AL58">
    <cfRule type="expression" dxfId="640" priority="284" stopIfTrue="1">
      <formula>TIPOORCAMENTO="PROPOSTO"</formula>
    </cfRule>
    <cfRule type="expression" dxfId="639" priority="285" stopIfTrue="1">
      <formula>$C58=1</formula>
    </cfRule>
    <cfRule type="expression" dxfId="638" priority="286" stopIfTrue="1">
      <formula>OR(AND(ISNUMBER($C58),$C58=0),$C58=2,$C58=3,$C58=4)</formula>
    </cfRule>
  </conditionalFormatting>
  <conditionalFormatting sqref="AM58:AN58">
    <cfRule type="expression" dxfId="637" priority="287" stopIfTrue="1">
      <formula>TIPOORCAMENTO="PROPOSTO"</formula>
    </cfRule>
    <cfRule type="expression" dxfId="636" priority="288" stopIfTrue="1">
      <formula>$C58=1</formula>
    </cfRule>
    <cfRule type="expression" dxfId="635" priority="289" stopIfTrue="1">
      <formula>OR(AND(ISNUMBER($C58),$C58=0),$C58=2,$C58=3,$C58=4)</formula>
    </cfRule>
  </conditionalFormatting>
  <conditionalFormatting sqref="M68:M69">
    <cfRule type="cellIs" dxfId="634" priority="256" stopIfTrue="1" operator="notEqual">
      <formula>$N68</formula>
    </cfRule>
  </conditionalFormatting>
  <conditionalFormatting sqref="N68:O69 R68:R69 W68:X69">
    <cfRule type="expression" dxfId="633" priority="257" stopIfTrue="1">
      <formula>$C68=1</formula>
    </cfRule>
    <cfRule type="expression" dxfId="632" priority="258" stopIfTrue="1">
      <formula>OR($C68=0,$C68=2,$C68=3,$C68=4)</formula>
    </cfRule>
  </conditionalFormatting>
  <conditionalFormatting sqref="V68:V69">
    <cfRule type="expression" dxfId="631" priority="259" stopIfTrue="1">
      <formula>$C68=1</formula>
    </cfRule>
    <cfRule type="expression" dxfId="630" priority="260" stopIfTrue="1">
      <formula>OR($C68=0,$C68=2,$C68=3,$C68=4)</formula>
    </cfRule>
    <cfRule type="expression" dxfId="629" priority="261" stopIfTrue="1">
      <formula>AND(TIPOORCAMENTO="Licitado",$C68&lt;&gt;"L",$C68&lt;&gt;-1)</formula>
    </cfRule>
  </conditionalFormatting>
  <conditionalFormatting sqref="P68:Q69 S68:T69 Y68:Y69 AG68:AH69">
    <cfRule type="expression" dxfId="628" priority="262" stopIfTrue="1">
      <formula>$C68=1</formula>
    </cfRule>
    <cfRule type="expression" dxfId="627" priority="263" stopIfTrue="1">
      <formula>OR($C68=0,$C68=2,$C68=3,$C68=4)</formula>
    </cfRule>
  </conditionalFormatting>
  <conditionalFormatting sqref="AJ68:AJ69">
    <cfRule type="expression" dxfId="626" priority="264" stopIfTrue="1">
      <formula>OR(ACOMPANHAMENTO&lt;&gt;"BM",TIPOORCAMENTO="Licitado")</formula>
    </cfRule>
    <cfRule type="expression" dxfId="625" priority="265" stopIfTrue="1">
      <formula>$C68=1</formula>
    </cfRule>
    <cfRule type="expression" dxfId="624" priority="266" stopIfTrue="1">
      <formula>OR(AND(ISNUMBER($C68),$C68=0),$C68=2,$C68=3,$C68=4)</formula>
    </cfRule>
  </conditionalFormatting>
  <conditionalFormatting sqref="AL68:AL69">
    <cfRule type="expression" dxfId="623" priority="267" stopIfTrue="1">
      <formula>TIPOORCAMENTO="PROPOSTO"</formula>
    </cfRule>
    <cfRule type="expression" dxfId="622" priority="268" stopIfTrue="1">
      <formula>$C68=1</formula>
    </cfRule>
    <cfRule type="expression" dxfId="621" priority="269" stopIfTrue="1">
      <formula>OR(AND(ISNUMBER($C68),$C68=0),$C68=2,$C68=3,$C68=4)</formula>
    </cfRule>
  </conditionalFormatting>
  <conditionalFormatting sqref="AM68:AN69">
    <cfRule type="expression" dxfId="620" priority="270" stopIfTrue="1">
      <formula>TIPOORCAMENTO="PROPOSTO"</formula>
    </cfRule>
    <cfRule type="expression" dxfId="619" priority="271" stopIfTrue="1">
      <formula>$C68=1</formula>
    </cfRule>
    <cfRule type="expression" dxfId="618" priority="272" stopIfTrue="1">
      <formula>OR(AND(ISNUMBER($C68),$C68=0),$C68=2,$C68=3,$C68=4)</formula>
    </cfRule>
  </conditionalFormatting>
  <conditionalFormatting sqref="M41">
    <cfRule type="cellIs" dxfId="617" priority="222" stopIfTrue="1" operator="notEqual">
      <formula>$N41</formula>
    </cfRule>
  </conditionalFormatting>
  <conditionalFormatting sqref="N41:O41 R41 W41:X41">
    <cfRule type="expression" dxfId="616" priority="223" stopIfTrue="1">
      <formula>$C41=1</formula>
    </cfRule>
    <cfRule type="expression" dxfId="615" priority="224" stopIfTrue="1">
      <formula>OR($C41=0,$C41=2,$C41=3,$C41=4)</formula>
    </cfRule>
  </conditionalFormatting>
  <conditionalFormatting sqref="V41">
    <cfRule type="expression" dxfId="614" priority="225" stopIfTrue="1">
      <formula>$C41=1</formula>
    </cfRule>
    <cfRule type="expression" dxfId="613" priority="226" stopIfTrue="1">
      <formula>OR($C41=0,$C41=2,$C41=3,$C41=4)</formula>
    </cfRule>
    <cfRule type="expression" dxfId="612" priority="227" stopIfTrue="1">
      <formula>AND(TIPOORCAMENTO="Licitado",$C41&lt;&gt;"L",$C41&lt;&gt;-1)</formula>
    </cfRule>
  </conditionalFormatting>
  <conditionalFormatting sqref="P41:Q41 S41:T41 Y41 AG41:AH41">
    <cfRule type="expression" dxfId="611" priority="228" stopIfTrue="1">
      <formula>$C41=1</formula>
    </cfRule>
    <cfRule type="expression" dxfId="610" priority="229" stopIfTrue="1">
      <formula>OR($C41=0,$C41=2,$C41=3,$C41=4)</formula>
    </cfRule>
  </conditionalFormatting>
  <conditionalFormatting sqref="AJ41">
    <cfRule type="expression" dxfId="609" priority="230" stopIfTrue="1">
      <formula>OR(ACOMPANHAMENTO&lt;&gt;"BM",TIPOORCAMENTO="Licitado")</formula>
    </cfRule>
    <cfRule type="expression" dxfId="608" priority="231" stopIfTrue="1">
      <formula>$C41=1</formula>
    </cfRule>
    <cfRule type="expression" dxfId="607" priority="232" stopIfTrue="1">
      <formula>OR(AND(ISNUMBER($C41),$C41=0),$C41=2,$C41=3,$C41=4)</formula>
    </cfRule>
  </conditionalFormatting>
  <conditionalFormatting sqref="AL41">
    <cfRule type="expression" dxfId="606" priority="233" stopIfTrue="1">
      <formula>TIPOORCAMENTO="PROPOSTO"</formula>
    </cfRule>
    <cfRule type="expression" dxfId="605" priority="234" stopIfTrue="1">
      <formula>$C41=1</formula>
    </cfRule>
    <cfRule type="expression" dxfId="604" priority="235" stopIfTrue="1">
      <formula>OR(AND(ISNUMBER($C41),$C41=0),$C41=2,$C41=3,$C41=4)</formula>
    </cfRule>
  </conditionalFormatting>
  <conditionalFormatting sqref="AM41:AN41">
    <cfRule type="expression" dxfId="603" priority="236" stopIfTrue="1">
      <formula>TIPOORCAMENTO="PROPOSTO"</formula>
    </cfRule>
    <cfRule type="expression" dxfId="602" priority="237" stopIfTrue="1">
      <formula>$C41=1</formula>
    </cfRule>
    <cfRule type="expression" dxfId="601" priority="238" stopIfTrue="1">
      <formula>OR(AND(ISNUMBER($C41),$C41=0),$C41=2,$C41=3,$C41=4)</formula>
    </cfRule>
  </conditionalFormatting>
  <conditionalFormatting sqref="M90">
    <cfRule type="cellIs" dxfId="600" priority="205" stopIfTrue="1" operator="notEqual">
      <formula>$N90</formula>
    </cfRule>
  </conditionalFormatting>
  <conditionalFormatting sqref="N90:O90 R90 W90:X90">
    <cfRule type="expression" dxfId="599" priority="206" stopIfTrue="1">
      <formula>$C90=1</formula>
    </cfRule>
    <cfRule type="expression" dxfId="598" priority="207" stopIfTrue="1">
      <formula>OR($C90=0,$C90=2,$C90=3,$C90=4)</formula>
    </cfRule>
  </conditionalFormatting>
  <conditionalFormatting sqref="V90">
    <cfRule type="expression" dxfId="597" priority="208" stopIfTrue="1">
      <formula>$C90=1</formula>
    </cfRule>
    <cfRule type="expression" dxfId="596" priority="209" stopIfTrue="1">
      <formula>OR($C90=0,$C90=2,$C90=3,$C90=4)</formula>
    </cfRule>
    <cfRule type="expression" dxfId="595" priority="210" stopIfTrue="1">
      <formula>AND(TIPOORCAMENTO="Licitado",$C90&lt;&gt;"L",$C90&lt;&gt;-1)</formula>
    </cfRule>
  </conditionalFormatting>
  <conditionalFormatting sqref="P90:Q90 S90:T90 Y90 AG90:AH90">
    <cfRule type="expression" dxfId="594" priority="211" stopIfTrue="1">
      <formula>$C90=1</formula>
    </cfRule>
    <cfRule type="expression" dxfId="593" priority="212" stopIfTrue="1">
      <formula>OR($C90=0,$C90=2,$C90=3,$C90=4)</formula>
    </cfRule>
  </conditionalFormatting>
  <conditionalFormatting sqref="AJ90">
    <cfRule type="expression" dxfId="592" priority="213" stopIfTrue="1">
      <formula>OR(ACOMPANHAMENTO&lt;&gt;"BM",TIPOORCAMENTO="Licitado")</formula>
    </cfRule>
    <cfRule type="expression" dxfId="591" priority="214" stopIfTrue="1">
      <formula>$C90=1</formula>
    </cfRule>
    <cfRule type="expression" dxfId="590" priority="215" stopIfTrue="1">
      <formula>OR(AND(ISNUMBER($C90),$C90=0),$C90=2,$C90=3,$C90=4)</formula>
    </cfRule>
  </conditionalFormatting>
  <conditionalFormatting sqref="AL90">
    <cfRule type="expression" dxfId="589" priority="216" stopIfTrue="1">
      <formula>TIPOORCAMENTO="PROPOSTO"</formula>
    </cfRule>
    <cfRule type="expression" dxfId="588" priority="217" stopIfTrue="1">
      <formula>$C90=1</formula>
    </cfRule>
    <cfRule type="expression" dxfId="587" priority="218" stopIfTrue="1">
      <formula>OR(AND(ISNUMBER($C90),$C90=0),$C90=2,$C90=3,$C90=4)</formula>
    </cfRule>
  </conditionalFormatting>
  <conditionalFormatting sqref="AM90:AN90">
    <cfRule type="expression" dxfId="586" priority="219" stopIfTrue="1">
      <formula>TIPOORCAMENTO="PROPOSTO"</formula>
    </cfRule>
    <cfRule type="expression" dxfId="585" priority="220" stopIfTrue="1">
      <formula>$C90=1</formula>
    </cfRule>
    <cfRule type="expression" dxfId="584" priority="221" stopIfTrue="1">
      <formula>OR(AND(ISNUMBER($C90),$C90=0),$C90=2,$C90=3,$C90=4)</formula>
    </cfRule>
  </conditionalFormatting>
  <conditionalFormatting sqref="M100">
    <cfRule type="cellIs" dxfId="583" priority="188" stopIfTrue="1" operator="notEqual">
      <formula>$N100</formula>
    </cfRule>
  </conditionalFormatting>
  <conditionalFormatting sqref="N100:O100 R100 W100:X100">
    <cfRule type="expression" dxfId="582" priority="189" stopIfTrue="1">
      <formula>$C100=1</formula>
    </cfRule>
    <cfRule type="expression" dxfId="581" priority="190" stopIfTrue="1">
      <formula>OR($C100=0,$C100=2,$C100=3,$C100=4)</formula>
    </cfRule>
  </conditionalFormatting>
  <conditionalFormatting sqref="V100">
    <cfRule type="expression" dxfId="580" priority="191" stopIfTrue="1">
      <formula>$C100=1</formula>
    </cfRule>
    <cfRule type="expression" dxfId="579" priority="192" stopIfTrue="1">
      <formula>OR($C100=0,$C100=2,$C100=3,$C100=4)</formula>
    </cfRule>
    <cfRule type="expression" dxfId="578" priority="193" stopIfTrue="1">
      <formula>AND(TIPOORCAMENTO="Licitado",$C100&lt;&gt;"L",$C100&lt;&gt;-1)</formula>
    </cfRule>
  </conditionalFormatting>
  <conditionalFormatting sqref="P100:Q100 S100:T100 Y100 AG100:AH100">
    <cfRule type="expression" dxfId="577" priority="194" stopIfTrue="1">
      <formula>$C100=1</formula>
    </cfRule>
    <cfRule type="expression" dxfId="576" priority="195" stopIfTrue="1">
      <formula>OR($C100=0,$C100=2,$C100=3,$C100=4)</formula>
    </cfRule>
  </conditionalFormatting>
  <conditionalFormatting sqref="AJ100">
    <cfRule type="expression" dxfId="575" priority="196" stopIfTrue="1">
      <formula>OR(ACOMPANHAMENTO&lt;&gt;"BM",TIPOORCAMENTO="Licitado")</formula>
    </cfRule>
    <cfRule type="expression" dxfId="574" priority="197" stopIfTrue="1">
      <formula>$C100=1</formula>
    </cfRule>
    <cfRule type="expression" dxfId="573" priority="198" stopIfTrue="1">
      <formula>OR(AND(ISNUMBER($C100),$C100=0),$C100=2,$C100=3,$C100=4)</formula>
    </cfRule>
  </conditionalFormatting>
  <conditionalFormatting sqref="AL100">
    <cfRule type="expression" dxfId="572" priority="199" stopIfTrue="1">
      <formula>TIPOORCAMENTO="PROPOSTO"</formula>
    </cfRule>
    <cfRule type="expression" dxfId="571" priority="200" stopIfTrue="1">
      <formula>$C100=1</formula>
    </cfRule>
    <cfRule type="expression" dxfId="570" priority="201" stopIfTrue="1">
      <formula>OR(AND(ISNUMBER($C100),$C100=0),$C100=2,$C100=3,$C100=4)</formula>
    </cfRule>
  </conditionalFormatting>
  <conditionalFormatting sqref="AM100:AN100">
    <cfRule type="expression" dxfId="569" priority="202" stopIfTrue="1">
      <formula>TIPOORCAMENTO="PROPOSTO"</formula>
    </cfRule>
    <cfRule type="expression" dxfId="568" priority="203" stopIfTrue="1">
      <formula>$C100=1</formula>
    </cfRule>
    <cfRule type="expression" dxfId="567" priority="204" stopIfTrue="1">
      <formula>OR(AND(ISNUMBER($C100),$C100=0),$C100=2,$C100=3,$C100=4)</formula>
    </cfRule>
  </conditionalFormatting>
  <conditionalFormatting sqref="M110:M112">
    <cfRule type="cellIs" dxfId="566" priority="171" stopIfTrue="1" operator="notEqual">
      <formula>$N110</formula>
    </cfRule>
  </conditionalFormatting>
  <conditionalFormatting sqref="N110:O112 R110:R112 W110:X112">
    <cfRule type="expression" dxfId="565" priority="172" stopIfTrue="1">
      <formula>$C110=1</formula>
    </cfRule>
    <cfRule type="expression" dxfId="564" priority="173" stopIfTrue="1">
      <formula>OR($C110=0,$C110=2,$C110=3,$C110=4)</formula>
    </cfRule>
  </conditionalFormatting>
  <conditionalFormatting sqref="V110:V112">
    <cfRule type="expression" dxfId="563" priority="174" stopIfTrue="1">
      <formula>$C110=1</formula>
    </cfRule>
    <cfRule type="expression" dxfId="562" priority="175" stopIfTrue="1">
      <formula>OR($C110=0,$C110=2,$C110=3,$C110=4)</formula>
    </cfRule>
    <cfRule type="expression" dxfId="561" priority="176" stopIfTrue="1">
      <formula>AND(TIPOORCAMENTO="Licitado",$C110&lt;&gt;"L",$C110&lt;&gt;-1)</formula>
    </cfRule>
  </conditionalFormatting>
  <conditionalFormatting sqref="P110:Q112 S110:T112 Y110:Y112 AG110:AH112">
    <cfRule type="expression" dxfId="560" priority="177" stopIfTrue="1">
      <formula>$C110=1</formula>
    </cfRule>
    <cfRule type="expression" dxfId="559" priority="178" stopIfTrue="1">
      <formula>OR($C110=0,$C110=2,$C110=3,$C110=4)</formula>
    </cfRule>
  </conditionalFormatting>
  <conditionalFormatting sqref="AJ110:AJ112">
    <cfRule type="expression" dxfId="558" priority="179" stopIfTrue="1">
      <formula>OR(ACOMPANHAMENTO&lt;&gt;"BM",TIPOORCAMENTO="Licitado")</formula>
    </cfRule>
    <cfRule type="expression" dxfId="557" priority="180" stopIfTrue="1">
      <formula>$C110=1</formula>
    </cfRule>
    <cfRule type="expression" dxfId="556" priority="181" stopIfTrue="1">
      <formula>OR(AND(ISNUMBER($C110),$C110=0),$C110=2,$C110=3,$C110=4)</formula>
    </cfRule>
  </conditionalFormatting>
  <conditionalFormatting sqref="AL110:AL112">
    <cfRule type="expression" dxfId="555" priority="182" stopIfTrue="1">
      <formula>TIPOORCAMENTO="PROPOSTO"</formula>
    </cfRule>
    <cfRule type="expression" dxfId="554" priority="183" stopIfTrue="1">
      <formula>$C110=1</formula>
    </cfRule>
    <cfRule type="expression" dxfId="553" priority="184" stopIfTrue="1">
      <formula>OR(AND(ISNUMBER($C110),$C110=0),$C110=2,$C110=3,$C110=4)</formula>
    </cfRule>
  </conditionalFormatting>
  <conditionalFormatting sqref="AM110:AN112">
    <cfRule type="expression" dxfId="552" priority="185" stopIfTrue="1">
      <formula>TIPOORCAMENTO="PROPOSTO"</formula>
    </cfRule>
    <cfRule type="expression" dxfId="551" priority="186" stopIfTrue="1">
      <formula>$C110=1</formula>
    </cfRule>
    <cfRule type="expression" dxfId="550" priority="187" stopIfTrue="1">
      <formula>OR(AND(ISNUMBER($C110),$C110=0),$C110=2,$C110=3,$C110=4)</formula>
    </cfRule>
  </conditionalFormatting>
  <conditionalFormatting sqref="M117">
    <cfRule type="cellIs" dxfId="549" priority="154" stopIfTrue="1" operator="notEqual">
      <formula>$N117</formula>
    </cfRule>
  </conditionalFormatting>
  <conditionalFormatting sqref="N117:O117 R117 W117:X117">
    <cfRule type="expression" dxfId="548" priority="155" stopIfTrue="1">
      <formula>$C117=1</formula>
    </cfRule>
    <cfRule type="expression" dxfId="547" priority="156" stopIfTrue="1">
      <formula>OR($C117=0,$C117=2,$C117=3,$C117=4)</formula>
    </cfRule>
  </conditionalFormatting>
  <conditionalFormatting sqref="V117">
    <cfRule type="expression" dxfId="546" priority="157" stopIfTrue="1">
      <formula>$C117=1</formula>
    </cfRule>
    <cfRule type="expression" dxfId="545" priority="158" stopIfTrue="1">
      <formula>OR($C117=0,$C117=2,$C117=3,$C117=4)</formula>
    </cfRule>
    <cfRule type="expression" dxfId="544" priority="159" stopIfTrue="1">
      <formula>AND(TIPOORCAMENTO="Licitado",$C117&lt;&gt;"L",$C117&lt;&gt;-1)</formula>
    </cfRule>
  </conditionalFormatting>
  <conditionalFormatting sqref="P117:Q117 S117:T117 Y117 AG117:AH117">
    <cfRule type="expression" dxfId="543" priority="160" stopIfTrue="1">
      <formula>$C117=1</formula>
    </cfRule>
    <cfRule type="expression" dxfId="542" priority="161" stopIfTrue="1">
      <formula>OR($C117=0,$C117=2,$C117=3,$C117=4)</formula>
    </cfRule>
  </conditionalFormatting>
  <conditionalFormatting sqref="AJ117">
    <cfRule type="expression" dxfId="541" priority="162" stopIfTrue="1">
      <formula>OR(ACOMPANHAMENTO&lt;&gt;"BM",TIPOORCAMENTO="Licitado")</formula>
    </cfRule>
    <cfRule type="expression" dxfId="540" priority="163" stopIfTrue="1">
      <formula>$C117=1</formula>
    </cfRule>
    <cfRule type="expression" dxfId="539" priority="164" stopIfTrue="1">
      <formula>OR(AND(ISNUMBER($C117),$C117=0),$C117=2,$C117=3,$C117=4)</formula>
    </cfRule>
  </conditionalFormatting>
  <conditionalFormatting sqref="AL117">
    <cfRule type="expression" dxfId="538" priority="165" stopIfTrue="1">
      <formula>TIPOORCAMENTO="PROPOSTO"</formula>
    </cfRule>
    <cfRule type="expression" dxfId="537" priority="166" stopIfTrue="1">
      <formula>$C117=1</formula>
    </cfRule>
    <cfRule type="expression" dxfId="536" priority="167" stopIfTrue="1">
      <formula>OR(AND(ISNUMBER($C117),$C117=0),$C117=2,$C117=3,$C117=4)</formula>
    </cfRule>
  </conditionalFormatting>
  <conditionalFormatting sqref="AM117:AN117">
    <cfRule type="expression" dxfId="535" priority="168" stopIfTrue="1">
      <formula>TIPOORCAMENTO="PROPOSTO"</formula>
    </cfRule>
    <cfRule type="expression" dxfId="534" priority="169" stopIfTrue="1">
      <formula>$C117=1</formula>
    </cfRule>
    <cfRule type="expression" dxfId="533" priority="170" stopIfTrue="1">
      <formula>OR(AND(ISNUMBER($C117),$C117=0),$C117=2,$C117=3,$C117=4)</formula>
    </cfRule>
  </conditionalFormatting>
  <conditionalFormatting sqref="M59">
    <cfRule type="cellIs" dxfId="532" priority="137" stopIfTrue="1" operator="notEqual">
      <formula>$N59</formula>
    </cfRule>
  </conditionalFormatting>
  <conditionalFormatting sqref="N59:O59 R59 W59:X59">
    <cfRule type="expression" dxfId="531" priority="138" stopIfTrue="1">
      <formula>$C59=1</formula>
    </cfRule>
    <cfRule type="expression" dxfId="530" priority="139" stopIfTrue="1">
      <formula>OR($C59=0,$C59=2,$C59=3,$C59=4)</formula>
    </cfRule>
  </conditionalFormatting>
  <conditionalFormatting sqref="V59">
    <cfRule type="expression" dxfId="529" priority="140" stopIfTrue="1">
      <formula>$C59=1</formula>
    </cfRule>
    <cfRule type="expression" dxfId="528" priority="141" stopIfTrue="1">
      <formula>OR($C59=0,$C59=2,$C59=3,$C59=4)</formula>
    </cfRule>
    <cfRule type="expression" dxfId="527" priority="142" stopIfTrue="1">
      <formula>AND(TIPOORCAMENTO="Licitado",$C59&lt;&gt;"L",$C59&lt;&gt;-1)</formula>
    </cfRule>
  </conditionalFormatting>
  <conditionalFormatting sqref="P59:Q59 S59:T59 Y59 AG59:AH59">
    <cfRule type="expression" dxfId="526" priority="143" stopIfTrue="1">
      <formula>$C59=1</formula>
    </cfRule>
    <cfRule type="expression" dxfId="525" priority="144" stopIfTrue="1">
      <formula>OR($C59=0,$C59=2,$C59=3,$C59=4)</formula>
    </cfRule>
  </conditionalFormatting>
  <conditionalFormatting sqref="AJ59">
    <cfRule type="expression" dxfId="524" priority="145" stopIfTrue="1">
      <formula>OR(ACOMPANHAMENTO&lt;&gt;"BM",TIPOORCAMENTO="Licitado")</formula>
    </cfRule>
    <cfRule type="expression" dxfId="523" priority="146" stopIfTrue="1">
      <formula>$C59=1</formula>
    </cfRule>
    <cfRule type="expression" dxfId="522" priority="147" stopIfTrue="1">
      <formula>OR(AND(ISNUMBER($C59),$C59=0),$C59=2,$C59=3,$C59=4)</formula>
    </cfRule>
  </conditionalFormatting>
  <conditionalFormatting sqref="AL59">
    <cfRule type="expression" dxfId="521" priority="148" stopIfTrue="1">
      <formula>TIPOORCAMENTO="PROPOSTO"</formula>
    </cfRule>
    <cfRule type="expression" dxfId="520" priority="149" stopIfTrue="1">
      <formula>$C59=1</formula>
    </cfRule>
    <cfRule type="expression" dxfId="519" priority="150" stopIfTrue="1">
      <formula>OR(AND(ISNUMBER($C59),$C59=0),$C59=2,$C59=3,$C59=4)</formula>
    </cfRule>
  </conditionalFormatting>
  <conditionalFormatting sqref="AM59:AN59">
    <cfRule type="expression" dxfId="518" priority="151" stopIfTrue="1">
      <formula>TIPOORCAMENTO="PROPOSTO"</formula>
    </cfRule>
    <cfRule type="expression" dxfId="517" priority="152" stopIfTrue="1">
      <formula>$C59=1</formula>
    </cfRule>
    <cfRule type="expression" dxfId="516" priority="153" stopIfTrue="1">
      <formula>OR(AND(ISNUMBER($C59),$C59=0),$C59=2,$C59=3,$C59=4)</formula>
    </cfRule>
  </conditionalFormatting>
  <conditionalFormatting sqref="M91">
    <cfRule type="cellIs" dxfId="515" priority="120" stopIfTrue="1" operator="notEqual">
      <formula>$N91</formula>
    </cfRule>
  </conditionalFormatting>
  <conditionalFormatting sqref="N91:O91 R91 W91:X91">
    <cfRule type="expression" dxfId="514" priority="121" stopIfTrue="1">
      <formula>$C91=1</formula>
    </cfRule>
    <cfRule type="expression" dxfId="513" priority="122" stopIfTrue="1">
      <formula>OR($C91=0,$C91=2,$C91=3,$C91=4)</formula>
    </cfRule>
  </conditionalFormatting>
  <conditionalFormatting sqref="V91">
    <cfRule type="expression" dxfId="512" priority="123" stopIfTrue="1">
      <formula>$C91=1</formula>
    </cfRule>
    <cfRule type="expression" dxfId="511" priority="124" stopIfTrue="1">
      <formula>OR($C91=0,$C91=2,$C91=3,$C91=4)</formula>
    </cfRule>
    <cfRule type="expression" dxfId="510" priority="125" stopIfTrue="1">
      <formula>AND(TIPOORCAMENTO="Licitado",$C91&lt;&gt;"L",$C91&lt;&gt;-1)</formula>
    </cfRule>
  </conditionalFormatting>
  <conditionalFormatting sqref="P91:Q91 S91:T91 Y91 AG91:AH91">
    <cfRule type="expression" dxfId="509" priority="126" stopIfTrue="1">
      <formula>$C91=1</formula>
    </cfRule>
    <cfRule type="expression" dxfId="508" priority="127" stopIfTrue="1">
      <formula>OR($C91=0,$C91=2,$C91=3,$C91=4)</formula>
    </cfRule>
  </conditionalFormatting>
  <conditionalFormatting sqref="AJ91">
    <cfRule type="expression" dxfId="507" priority="128" stopIfTrue="1">
      <formula>OR(ACOMPANHAMENTO&lt;&gt;"BM",TIPOORCAMENTO="Licitado")</formula>
    </cfRule>
    <cfRule type="expression" dxfId="506" priority="129" stopIfTrue="1">
      <formula>$C91=1</formula>
    </cfRule>
    <cfRule type="expression" dxfId="505" priority="130" stopIfTrue="1">
      <formula>OR(AND(ISNUMBER($C91),$C91=0),$C91=2,$C91=3,$C91=4)</formula>
    </cfRule>
  </conditionalFormatting>
  <conditionalFormatting sqref="AL91">
    <cfRule type="expression" dxfId="504" priority="131" stopIfTrue="1">
      <formula>TIPOORCAMENTO="PROPOSTO"</formula>
    </cfRule>
    <cfRule type="expression" dxfId="503" priority="132" stopIfTrue="1">
      <formula>$C91=1</formula>
    </cfRule>
    <cfRule type="expression" dxfId="502" priority="133" stopIfTrue="1">
      <formula>OR(AND(ISNUMBER($C91),$C91=0),$C91=2,$C91=3,$C91=4)</formula>
    </cfRule>
  </conditionalFormatting>
  <conditionalFormatting sqref="AM91:AN91">
    <cfRule type="expression" dxfId="501" priority="134" stopIfTrue="1">
      <formula>TIPOORCAMENTO="PROPOSTO"</formula>
    </cfRule>
    <cfRule type="expression" dxfId="500" priority="135" stopIfTrue="1">
      <formula>$C91=1</formula>
    </cfRule>
    <cfRule type="expression" dxfId="499" priority="136" stopIfTrue="1">
      <formula>OR(AND(ISNUMBER($C91),$C91=0),$C91=2,$C91=3,$C91=4)</formula>
    </cfRule>
  </conditionalFormatting>
  <conditionalFormatting sqref="M23">
    <cfRule type="cellIs" dxfId="498" priority="52" stopIfTrue="1" operator="notEqual">
      <formula>$N23</formula>
    </cfRule>
  </conditionalFormatting>
  <conditionalFormatting sqref="N23:O23 R23 W23:X23">
    <cfRule type="expression" dxfId="497" priority="53" stopIfTrue="1">
      <formula>$C23=1</formula>
    </cfRule>
    <cfRule type="expression" dxfId="496" priority="54" stopIfTrue="1">
      <formula>OR($C23=0,$C23=2,$C23=3,$C23=4)</formula>
    </cfRule>
  </conditionalFormatting>
  <conditionalFormatting sqref="V23">
    <cfRule type="expression" dxfId="495" priority="55" stopIfTrue="1">
      <formula>$C23=1</formula>
    </cfRule>
    <cfRule type="expression" dxfId="494" priority="56" stopIfTrue="1">
      <formula>OR($C23=0,$C23=2,$C23=3,$C23=4)</formula>
    </cfRule>
    <cfRule type="expression" dxfId="493" priority="57" stopIfTrue="1">
      <formula>AND(TIPOORCAMENTO="Licitado",$C23&lt;&gt;"L",$C23&lt;&gt;-1)</formula>
    </cfRule>
  </conditionalFormatting>
  <conditionalFormatting sqref="P23:Q23 S23:T23 Y23 AG23:AH23">
    <cfRule type="expression" dxfId="492" priority="58" stopIfTrue="1">
      <formula>$C23=1</formula>
    </cfRule>
    <cfRule type="expression" dxfId="491" priority="59" stopIfTrue="1">
      <formula>OR($C23=0,$C23=2,$C23=3,$C23=4)</formula>
    </cfRule>
  </conditionalFormatting>
  <conditionalFormatting sqref="AJ23">
    <cfRule type="expression" dxfId="490" priority="60" stopIfTrue="1">
      <formula>OR(ACOMPANHAMENTO&lt;&gt;"BM",TIPOORCAMENTO="Licitado")</formula>
    </cfRule>
    <cfRule type="expression" dxfId="489" priority="61" stopIfTrue="1">
      <formula>$C23=1</formula>
    </cfRule>
    <cfRule type="expression" dxfId="488" priority="62" stopIfTrue="1">
      <formula>OR(AND(ISNUMBER($C23),$C23=0),$C23=2,$C23=3,$C23=4)</formula>
    </cfRule>
  </conditionalFormatting>
  <conditionalFormatting sqref="AL23">
    <cfRule type="expression" dxfId="487" priority="63" stopIfTrue="1">
      <formula>TIPOORCAMENTO="PROPOSTO"</formula>
    </cfRule>
    <cfRule type="expression" dxfId="486" priority="64" stopIfTrue="1">
      <formula>$C23=1</formula>
    </cfRule>
    <cfRule type="expression" dxfId="485" priority="65" stopIfTrue="1">
      <formula>OR(AND(ISNUMBER($C23),$C23=0),$C23=2,$C23=3,$C23=4)</formula>
    </cfRule>
  </conditionalFormatting>
  <conditionalFormatting sqref="AM23:AN23">
    <cfRule type="expression" dxfId="484" priority="66" stopIfTrue="1">
      <formula>TIPOORCAMENTO="PROPOSTO"</formula>
    </cfRule>
    <cfRule type="expression" dxfId="483" priority="67" stopIfTrue="1">
      <formula>$C23=1</formula>
    </cfRule>
    <cfRule type="expression" dxfId="482" priority="68" stopIfTrue="1">
      <formula>OR(AND(ISNUMBER($C23),$C23=0),$C23=2,$C23=3,$C23=4)</formula>
    </cfRule>
  </conditionalFormatting>
  <conditionalFormatting sqref="M42">
    <cfRule type="cellIs" dxfId="481" priority="35" stopIfTrue="1" operator="notEqual">
      <formula>$N42</formula>
    </cfRule>
  </conditionalFormatting>
  <conditionalFormatting sqref="N42:O42 R42 W42:X42">
    <cfRule type="expression" dxfId="480" priority="36" stopIfTrue="1">
      <formula>$C42=1</formula>
    </cfRule>
    <cfRule type="expression" dxfId="479" priority="37" stopIfTrue="1">
      <formula>OR($C42=0,$C42=2,$C42=3,$C42=4)</formula>
    </cfRule>
  </conditionalFormatting>
  <conditionalFormatting sqref="V42">
    <cfRule type="expression" dxfId="478" priority="38" stopIfTrue="1">
      <formula>$C42=1</formula>
    </cfRule>
    <cfRule type="expression" dxfId="477" priority="39" stopIfTrue="1">
      <formula>OR($C42=0,$C42=2,$C42=3,$C42=4)</formula>
    </cfRule>
    <cfRule type="expression" dxfId="476" priority="40" stopIfTrue="1">
      <formula>AND(TIPOORCAMENTO="Licitado",$C42&lt;&gt;"L",$C42&lt;&gt;-1)</formula>
    </cfRule>
  </conditionalFormatting>
  <conditionalFormatting sqref="P42:Q42 S42:T42 Y42 AG42:AH42">
    <cfRule type="expression" dxfId="475" priority="41" stopIfTrue="1">
      <formula>$C42=1</formula>
    </cfRule>
    <cfRule type="expression" dxfId="474" priority="42" stopIfTrue="1">
      <formula>OR($C42=0,$C42=2,$C42=3,$C42=4)</formula>
    </cfRule>
  </conditionalFormatting>
  <conditionalFormatting sqref="AJ42">
    <cfRule type="expression" dxfId="473" priority="43" stopIfTrue="1">
      <formula>OR(ACOMPANHAMENTO&lt;&gt;"BM",TIPOORCAMENTO="Licitado")</formula>
    </cfRule>
    <cfRule type="expression" dxfId="472" priority="44" stopIfTrue="1">
      <formula>$C42=1</formula>
    </cfRule>
    <cfRule type="expression" dxfId="471" priority="45" stopIfTrue="1">
      <formula>OR(AND(ISNUMBER($C42),$C42=0),$C42=2,$C42=3,$C42=4)</formula>
    </cfRule>
  </conditionalFormatting>
  <conditionalFormatting sqref="AL42">
    <cfRule type="expression" dxfId="470" priority="46" stopIfTrue="1">
      <formula>TIPOORCAMENTO="PROPOSTO"</formula>
    </cfRule>
    <cfRule type="expression" dxfId="469" priority="47" stopIfTrue="1">
      <formula>$C42=1</formula>
    </cfRule>
    <cfRule type="expression" dxfId="468" priority="48" stopIfTrue="1">
      <formula>OR(AND(ISNUMBER($C42),$C42=0),$C42=2,$C42=3,$C42=4)</formula>
    </cfRule>
  </conditionalFormatting>
  <conditionalFormatting sqref="AM42:AN42">
    <cfRule type="expression" dxfId="467" priority="49" stopIfTrue="1">
      <formula>TIPOORCAMENTO="PROPOSTO"</formula>
    </cfRule>
    <cfRule type="expression" dxfId="466" priority="50" stopIfTrue="1">
      <formula>$C42=1</formula>
    </cfRule>
    <cfRule type="expression" dxfId="465" priority="51" stopIfTrue="1">
      <formula>OR(AND(ISNUMBER($C42),$C42=0),$C42=2,$C42=3,$C42=4)</formula>
    </cfRule>
  </conditionalFormatting>
  <conditionalFormatting sqref="M78">
    <cfRule type="cellIs" dxfId="464" priority="18" stopIfTrue="1" operator="notEqual">
      <formula>$N78</formula>
    </cfRule>
  </conditionalFormatting>
  <conditionalFormatting sqref="N78:O78 R78 W78:X78">
    <cfRule type="expression" dxfId="463" priority="19" stopIfTrue="1">
      <formula>$C78=1</formula>
    </cfRule>
    <cfRule type="expression" dxfId="462" priority="20" stopIfTrue="1">
      <formula>OR($C78=0,$C78=2,$C78=3,$C78=4)</formula>
    </cfRule>
  </conditionalFormatting>
  <conditionalFormatting sqref="V78">
    <cfRule type="expression" dxfId="461" priority="21" stopIfTrue="1">
      <formula>$C78=1</formula>
    </cfRule>
    <cfRule type="expression" dxfId="460" priority="22" stopIfTrue="1">
      <formula>OR($C78=0,$C78=2,$C78=3,$C78=4)</formula>
    </cfRule>
    <cfRule type="expression" dxfId="459" priority="23" stopIfTrue="1">
      <formula>AND(TIPOORCAMENTO="Licitado",$C78&lt;&gt;"L",$C78&lt;&gt;-1)</formula>
    </cfRule>
  </conditionalFormatting>
  <conditionalFormatting sqref="P78:Q78 S78:T78 Y78 AG78:AH78">
    <cfRule type="expression" dxfId="458" priority="24" stopIfTrue="1">
      <formula>$C78=1</formula>
    </cfRule>
    <cfRule type="expression" dxfId="457" priority="25" stopIfTrue="1">
      <formula>OR($C78=0,$C78=2,$C78=3,$C78=4)</formula>
    </cfRule>
  </conditionalFormatting>
  <conditionalFormatting sqref="AJ78">
    <cfRule type="expression" dxfId="456" priority="26" stopIfTrue="1">
      <formula>OR(ACOMPANHAMENTO&lt;&gt;"BM",TIPOORCAMENTO="Licitado")</formula>
    </cfRule>
    <cfRule type="expression" dxfId="455" priority="27" stopIfTrue="1">
      <formula>$C78=1</formula>
    </cfRule>
    <cfRule type="expression" dxfId="454" priority="28" stopIfTrue="1">
      <formula>OR(AND(ISNUMBER($C78),$C78=0),$C78=2,$C78=3,$C78=4)</formula>
    </cfRule>
  </conditionalFormatting>
  <conditionalFormatting sqref="AL78">
    <cfRule type="expression" dxfId="453" priority="29" stopIfTrue="1">
      <formula>TIPOORCAMENTO="PROPOSTO"</formula>
    </cfRule>
    <cfRule type="expression" dxfId="452" priority="30" stopIfTrue="1">
      <formula>$C78=1</formula>
    </cfRule>
    <cfRule type="expression" dxfId="451" priority="31" stopIfTrue="1">
      <formula>OR(AND(ISNUMBER($C78),$C78=0),$C78=2,$C78=3,$C78=4)</formula>
    </cfRule>
  </conditionalFormatting>
  <conditionalFormatting sqref="AM78:AN78">
    <cfRule type="expression" dxfId="450" priority="32" stopIfTrue="1">
      <formula>TIPOORCAMENTO="PROPOSTO"</formula>
    </cfRule>
    <cfRule type="expression" dxfId="449" priority="33" stopIfTrue="1">
      <formula>$C78=1</formula>
    </cfRule>
    <cfRule type="expression" dxfId="448" priority="34" stopIfTrue="1">
      <formula>OR(AND(ISNUMBER($C78),$C78=0),$C78=2,$C78=3,$C78=4)</formula>
    </cfRule>
  </conditionalFormatting>
  <conditionalFormatting sqref="M109">
    <cfRule type="cellIs" dxfId="447" priority="1" stopIfTrue="1" operator="notEqual">
      <formula>$N109</formula>
    </cfRule>
  </conditionalFormatting>
  <conditionalFormatting sqref="N109:O109 R109 W109:X109">
    <cfRule type="expression" dxfId="446" priority="2" stopIfTrue="1">
      <formula>$C109=1</formula>
    </cfRule>
    <cfRule type="expression" dxfId="445" priority="3" stopIfTrue="1">
      <formula>OR($C109=0,$C109=2,$C109=3,$C109=4)</formula>
    </cfRule>
  </conditionalFormatting>
  <conditionalFormatting sqref="V109">
    <cfRule type="expression" dxfId="444" priority="4" stopIfTrue="1">
      <formula>$C109=1</formula>
    </cfRule>
    <cfRule type="expression" dxfId="443" priority="5" stopIfTrue="1">
      <formula>OR($C109=0,$C109=2,$C109=3,$C109=4)</formula>
    </cfRule>
    <cfRule type="expression" dxfId="442" priority="6" stopIfTrue="1">
      <formula>AND(TIPOORCAMENTO="Licitado",$C109&lt;&gt;"L",$C109&lt;&gt;-1)</formula>
    </cfRule>
  </conditionalFormatting>
  <conditionalFormatting sqref="P109:Q109 S109:T109 Y109 AG109:AH109">
    <cfRule type="expression" dxfId="441" priority="7" stopIfTrue="1">
      <formula>$C109=1</formula>
    </cfRule>
    <cfRule type="expression" dxfId="440" priority="8" stopIfTrue="1">
      <formula>OR($C109=0,$C109=2,$C109=3,$C109=4)</formula>
    </cfRule>
  </conditionalFormatting>
  <conditionalFormatting sqref="AJ109">
    <cfRule type="expression" dxfId="439" priority="9" stopIfTrue="1">
      <formula>OR(ACOMPANHAMENTO&lt;&gt;"BM",TIPOORCAMENTO="Licitado")</formula>
    </cfRule>
    <cfRule type="expression" dxfId="438" priority="10" stopIfTrue="1">
      <formula>$C109=1</formula>
    </cfRule>
    <cfRule type="expression" dxfId="437" priority="11" stopIfTrue="1">
      <formula>OR(AND(ISNUMBER($C109),$C109=0),$C109=2,$C109=3,$C109=4)</formula>
    </cfRule>
  </conditionalFormatting>
  <conditionalFormatting sqref="AL109">
    <cfRule type="expression" dxfId="436" priority="12" stopIfTrue="1">
      <formula>TIPOORCAMENTO="PROPOSTO"</formula>
    </cfRule>
    <cfRule type="expression" dxfId="435" priority="13" stopIfTrue="1">
      <formula>$C109=1</formula>
    </cfRule>
    <cfRule type="expression" dxfId="434" priority="14" stopIfTrue="1">
      <formula>OR(AND(ISNUMBER($C109),$C109=0),$C109=2,$C109=3,$C109=4)</formula>
    </cfRule>
  </conditionalFormatting>
  <conditionalFormatting sqref="AM109:AN109">
    <cfRule type="expression" dxfId="433" priority="15" stopIfTrue="1">
      <formula>TIPOORCAMENTO="PROPOSTO"</formula>
    </cfRule>
    <cfRule type="expression" dxfId="432" priority="16" stopIfTrue="1">
      <formula>$C109=1</formula>
    </cfRule>
    <cfRule type="expression" dxfId="431" priority="17" stopIfTrue="1">
      <formula>OR(AND(ISNUMBER($C109),$C109=0),$C109=2,$C109=3,$C109=4)</formula>
    </cfRule>
  </conditionalFormatting>
  <dataValidations count="7">
    <dataValidation type="decimal" operator="greaterThan" allowBlank="1" showErrorMessage="1" error="Apenas números decimais maiores que zero." sqref="U14 AL14 AJ14 AJ16:AJ118 AL16:AL118 U16:U118">
      <formula1>0</formula1>
      <formula2>0</formula2>
    </dataValidation>
    <dataValidation type="list" allowBlank="1" sqref="P14 P16:P118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118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118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118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118"/>
    <dataValidation allowBlank="1" showInputMessage="1" showErrorMessage="1" prompt="Para Orçamento Proposto, o Preço Unitário é resultado do produto do Custo Unitário pelo BDI._x000a_Para Orçamento Licitado, deve ser preenchido na Coluna AL." sqref="W14 W16:W118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BG65391"/>
  <sheetViews>
    <sheetView showGridLines="0" zoomScale="90" zoomScaleNormal="9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A94" sqref="A94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626" t="str">
        <f>IF(ACOMPANHAMENTO="BM","MEMÓRIA DE CÁLCULO","PLQ - PLANILHA DE LEVANTAMENTO DE QUANTIDADES")</f>
        <v>MEMÓRIA DE CÁLCULO</v>
      </c>
      <c r="G1" s="626"/>
      <c r="H1" s="626"/>
      <c r="I1" s="147"/>
      <c r="K1" s="147"/>
      <c r="L1" s="147"/>
      <c r="M1" s="148"/>
      <c r="N1" s="147"/>
      <c r="P1" s="147"/>
      <c r="Q1" s="583" t="s">
        <v>140</v>
      </c>
      <c r="R1" s="583"/>
      <c r="Y1" s="583" t="s">
        <v>140</v>
      </c>
      <c r="Z1" s="583"/>
    </row>
    <row r="2" spans="1:59" ht="15" customHeight="1" x14ac:dyDescent="0.2">
      <c r="F2" s="627" t="str">
        <f>IF(ACOMPANHAMENTO="BM","","Memória de Cálculo")&amp;" - "&amp;import.recurso</f>
        <v xml:space="preserve"> - (SELECIONAR)</v>
      </c>
      <c r="G2" s="627"/>
      <c r="H2" s="627"/>
      <c r="I2" s="149"/>
      <c r="K2" s="149"/>
      <c r="L2" s="149"/>
      <c r="M2" s="150"/>
      <c r="N2" s="149"/>
      <c r="P2" s="149"/>
      <c r="Q2" s="584" t="s">
        <v>143</v>
      </c>
      <c r="R2" s="584"/>
      <c r="Y2" s="584" t="s">
        <v>143</v>
      </c>
      <c r="Z2" s="584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585" t="s">
        <v>202</v>
      </c>
      <c r="F4" s="585"/>
      <c r="G4" s="585" t="s">
        <v>443</v>
      </c>
      <c r="H4" s="585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585" t="s">
        <v>146</v>
      </c>
      <c r="T4" s="585"/>
      <c r="U4" s="585" t="s">
        <v>147</v>
      </c>
      <c r="V4" s="585"/>
      <c r="W4" s="585"/>
      <c r="X4" s="585"/>
      <c r="Y4" s="585"/>
      <c r="Z4" s="585"/>
    </row>
    <row r="5" spans="1:59" ht="12.75" customHeight="1" x14ac:dyDescent="0.2">
      <c r="E5" s="582" t="str">
        <f>Import.Apelido</f>
        <v>PAVIMENTAÇÃO ASFÁLTICA</v>
      </c>
      <c r="F5" s="582"/>
      <c r="G5" s="582" cm="1">
        <f t="array" ref="G5">Import.TransfereGOV</f>
        <v>0</v>
      </c>
      <c r="H5" s="582"/>
      <c r="I5" s="92">
        <f>Import.CR</f>
        <v>0</v>
      </c>
      <c r="K5" s="154" t="str">
        <f>Import.Proponente</f>
        <v>PREFEITURA MUNICIPAL</v>
      </c>
      <c r="L5" s="155"/>
      <c r="M5" s="102"/>
      <c r="N5" s="155"/>
      <c r="O5" s="155"/>
      <c r="P5" s="155"/>
      <c r="Q5" s="155"/>
      <c r="R5" s="93"/>
      <c r="S5" s="582">
        <f>Import.CR</f>
        <v>0</v>
      </c>
      <c r="T5" s="582"/>
      <c r="U5" s="582" t="str">
        <f>Import.Proponente</f>
        <v>PREFEITURA MUNICIPAL</v>
      </c>
      <c r="V5" s="582"/>
      <c r="W5" s="582"/>
      <c r="X5" s="582"/>
      <c r="Y5" s="582"/>
      <c r="Z5" s="582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>IF(ACOMPANHAMENTO="BM",0,COUNTIF(M15:M119,0))</f>
        <v>0</v>
      </c>
      <c r="N12" s="158" t="s">
        <v>257</v>
      </c>
      <c r="O12" s="162"/>
      <c r="P12" s="159" t="s">
        <v>255</v>
      </c>
      <c r="Q12" s="543"/>
      <c r="R12" s="162"/>
      <c r="S12" s="162"/>
      <c r="T12" s="162"/>
      <c r="U12" s="162"/>
      <c r="V12" s="162"/>
      <c r="W12" s="162"/>
      <c r="X12" s="162"/>
      <c r="Y12" s="162"/>
      <c r="Z12" s="163"/>
      <c r="AA12" s="159" t="s">
        <v>255</v>
      </c>
      <c r="AB12" s="164">
        <f ca="1">OFFSET($P$12,0,AB$13)</f>
        <v>0</v>
      </c>
      <c r="AC12" s="165">
        <f t="shared" ref="AC12:AK12" ca="1" si="0">OFFSET($P$12,0,AC$13)</f>
        <v>0</v>
      </c>
      <c r="AD12" s="165">
        <f t="shared" ca="1" si="0"/>
        <v>0</v>
      </c>
      <c r="AE12" s="165">
        <f t="shared" ca="1" si="0"/>
        <v>0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>
        <f ca="1">OFFSET($P$12,0,AM$13)</f>
        <v>0</v>
      </c>
      <c r="AN12" s="165">
        <f t="shared" ref="AN12:AV12" ca="1" si="1">OFFSET($P$12,0,AN$13)</f>
        <v>0</v>
      </c>
      <c r="AO12" s="165">
        <f t="shared" ca="1" si="1"/>
        <v>0</v>
      </c>
      <c r="AP12" s="165">
        <f t="shared" ca="1" si="1"/>
        <v>0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>
        <f ca="1">OFFSET($P$12,0,AX$13)</f>
        <v>0</v>
      </c>
      <c r="AY12" s="165">
        <f t="shared" ref="AY12:BG12" ca="1" si="2">OFFSET($P$12,0,AY$13)</f>
        <v>0</v>
      </c>
      <c r="AZ12" s="165">
        <f t="shared" ca="1" si="2"/>
        <v>0</v>
      </c>
      <c r="BA12" s="165">
        <f t="shared" ca="1" si="2"/>
        <v>0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(Sem Código)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 IF(Import.TipoArredondamento&lt;&gt;"TransfereGOV", ROUND(OFFSET($P14,0,AB$13),15-13*ORÇAMENTO!$AF$7)/$H14*OFFSET(ORÇAMENTO!$X$15,ROW(AB14)-ROW(AB$15),0), 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 IF(Import.TipoArredondamento&lt;&gt;"TransfereGOV", ROUND(OFFSET($P14,0,AC$13),15-13*ORÇAMENTO!$AF$7)/$H14*OFFSET(ORÇAMENTO!$X$15,ROW(AC14)-ROW(AC$15),0), 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 IF(Import.TipoArredondamento&lt;&gt;"TransfereGOV", ROUND(OFFSET($P14,0,AD$13),15-13*ORÇAMENTO!$AF$7)/$H14*OFFSET(ORÇAMENTO!$X$15,ROW(AD14)-ROW(AD$15),0), 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 IF(Import.TipoArredondamento&lt;&gt;"TransfereGOV", ROUND(OFFSET($P14,0,AE$13),15-13*ORÇAMENTO!$AF$7)/$H14*OFFSET(ORÇAMENTO!$X$15,ROW(AE14)-ROW(AE$15),0), 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 IF(Import.TipoArredondamento&lt;&gt;"TransfereGOV", ROUND(OFFSET($P14,0,AF$13),15-13*ORÇAMENTO!$AF$7)/$H14*OFFSET(ORÇAMENTO!$X$15,ROW(AF14)-ROW(AF$15),0), 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 IF(Import.TipoArredondamento&lt;&gt;"TransfereGOV", ROUND(OFFSET($P14,0,AG$13),15-13*ORÇAMENTO!$AF$7)/$H14*OFFSET(ORÇAMENTO!$X$15,ROW(AG14)-ROW(AG$15),0), 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 IF(Import.TipoArredondamento&lt;&gt;"TransfereGOV", ROUND(OFFSET($P14,0,AH$13),15-13*ORÇAMENTO!$AF$7)/$H14*OFFSET(ORÇAMENTO!$X$15,ROW(AH14)-ROW(AH$15),0), 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 IF(Import.TipoArredondamento&lt;&gt;"TransfereGOV", ROUND(OFFSET($P14,0,AI$13),15-13*ORÇAMENTO!$AF$7)/$H14*OFFSET(ORÇAMENTO!$X$15,ROW(AI14)-ROW(AI$15),0), 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 IF(Import.TipoArredondamento&lt;&gt;"TransfereGOV", ROUND(OFFSET($P14,0,AJ$13),15-13*ORÇAMENTO!$AF$7)/$H14*OFFSET(ORÇAMENTO!$X$15,ROW(AJ14)-ROW(AJ$15),0), 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 IF(Import.TipoArredondamento&lt;&gt;"TransfereGOV", ROUND(OFFSET($P14,0,AK$13),15-13*ORÇAMENTO!$AF$7)/$H14*OFFSET(ORÇAMENTO!$X$15,ROW(AK14)-ROW(AK$15),0), 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28" t="str">
        <f>Import.DescLote</f>
        <v>DIVERSOS TRECHOS DA ÁREA URBANA</v>
      </c>
      <c r="F15" s="628"/>
      <c r="G15" s="628"/>
      <c r="H15" s="628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ROUND(SUM(OFFSET(AB$15,1,0):AB$119),2)</f>
        <v>0</v>
      </c>
      <c r="AC15" s="189">
        <f ca="1">SUM(OFFSET(AC$15,1,0):AC$119)</f>
        <v>0</v>
      </c>
      <c r="AD15" s="189">
        <f ca="1">SUM(OFFSET(AD$15,1,0):AD$119)</f>
        <v>0</v>
      </c>
      <c r="AE15" s="189">
        <f ca="1">SUM(OFFSET(AE$15,1,0):AE$119)</f>
        <v>0</v>
      </c>
      <c r="AF15" s="189">
        <f ca="1">SUM(OFFSET(AF$15,1,0):AF$119)</f>
        <v>0</v>
      </c>
      <c r="AG15" s="189">
        <f ca="1">SUM(OFFSET(AG$15,1,0):AG$119)</f>
        <v>0</v>
      </c>
      <c r="AH15" s="189">
        <f ca="1">SUM(OFFSET(AH$15,1,0):AH$119)</f>
        <v>0</v>
      </c>
      <c r="AI15" s="189">
        <f ca="1">SUM(OFFSET(AI$15,1,0):AI$119)</f>
        <v>0</v>
      </c>
      <c r="AJ15" s="189">
        <f ca="1">SUM(OFFSET(AJ$15,1,0):AJ$119)</f>
        <v>0</v>
      </c>
      <c r="AK15" s="189">
        <f ca="1">SUM(OFFSET(AK$15,1,0):AK$119)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ca="1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TRECHO 01 - Rua João XXIII e Loureiro da Silva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 IF(Import.TipoArredondamento&lt;&gt;"TransfereGOV", ROUND(OFFSET($P16,0,AB$13),15-13*ORÇAMENTO!$AF$7)/$H16*OFFSET(ORÇAMENTO!$X$15,ROW(AB16)-ROW(AB$15),0), 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 IF(Import.TipoArredondamento&lt;&gt;"TransfereGOV", ROUND(OFFSET($P16,0,AC$13),15-13*ORÇAMENTO!$AF$7)/$H16*OFFSET(ORÇAMENTO!$X$15,ROW(AC16)-ROW(AC$15),0), 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 IF(Import.TipoArredondamento&lt;&gt;"TransfereGOV", ROUND(OFFSET($P16,0,AD$13),15-13*ORÇAMENTO!$AF$7)/$H16*OFFSET(ORÇAMENTO!$X$15,ROW(AD16)-ROW(AD$15),0), 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 IF(Import.TipoArredondamento&lt;&gt;"TransfereGOV", ROUND(OFFSET($P16,0,AE$13),15-13*ORÇAMENTO!$AF$7)/$H16*OFFSET(ORÇAMENTO!$X$15,ROW(AE16)-ROW(AE$15),0), 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 IF(Import.TipoArredondamento&lt;&gt;"TransfereGOV", ROUND(OFFSET($P16,0,AF$13),15-13*ORÇAMENTO!$AF$7)/$H16*OFFSET(ORÇAMENTO!$X$15,ROW(AF16)-ROW(AF$15),0), 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 IF(Import.TipoArredondamento&lt;&gt;"TransfereGOV", ROUND(OFFSET($P16,0,AG$13),15-13*ORÇAMENTO!$AF$7)/$H16*OFFSET(ORÇAMENTO!$X$15,ROW(AG16)-ROW(AG$15),0), 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 IF(Import.TipoArredondamento&lt;&gt;"TransfereGOV", ROUND(OFFSET($P16,0,AH$13),15-13*ORÇAMENTO!$AF$7)/$H16*OFFSET(ORÇAMENTO!$X$15,ROW(AH16)-ROW(AH$15),0), 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 IF(Import.TipoArredondamento&lt;&gt;"TransfereGOV", ROUND(OFFSET($P16,0,AI$13),15-13*ORÇAMENTO!$AF$7)/$H16*OFFSET(ORÇAMENTO!$X$15,ROW(AI16)-ROW(AI$15),0), 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 IF(Import.TipoArredondamento&lt;&gt;"TransfereGOV", ROUND(OFFSET($P16,0,AJ$13),15-13*ORÇAMENTO!$AF$7)/$H16*OFFSET(ORÇAMENTO!$X$15,ROW(AJ16)-ROW(AJ$15),0), 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 IF(Import.TipoArredondamento&lt;&gt;"TransfereGOV", ROUND(OFFSET($P16,0,AK$13),15-13*ORÇAMENTO!$AF$7)/$H16*OFFSET(ORÇAMENTO!$X$15,ROW(AK16)-ROW(AK$15),0), 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7" t="str">
        <f t="shared" ref="A17:A97" ca="1" si="8">IF(AUTOEVENTO="Manual",IF(K17&lt;&gt;"",MIN(VALUE(LEFT(K17,FIND(".",K17)-1)),COUNTA(EVENTOS.Lista)),0),IF(OR($B17&gt;AUTOEVENTO,$B17="S",$B17=0),SUBSTITUTE(OFFSET($A17,-1,0),IF($D17="Serviço",".",""),""),ROW(A17)-ROW($A$15)&amp;"."))</f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 xml:space="preserve">SERVIÇOS INICIAIS 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 IF(Import.TipoArredondamento&lt;&gt;"TransfereGOV", ROUND(OFFSET($P17,0,AB$13),15-13*ORÇAMENTO!$AF$7)/$H17*OFFSET(ORÇAMENTO!$X$15,ROW(AB17)-ROW(AB$15),0), 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 IF(Import.TipoArredondamento&lt;&gt;"TransfereGOV", ROUND(OFFSET($P17,0,AC$13),15-13*ORÇAMENTO!$AF$7)/$H17*OFFSET(ORÇAMENTO!$X$15,ROW(AC17)-ROW(AC$15),0), 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 IF(Import.TipoArredondamento&lt;&gt;"TransfereGOV", ROUND(OFFSET($P17,0,AD$13),15-13*ORÇAMENTO!$AF$7)/$H17*OFFSET(ORÇAMENTO!$X$15,ROW(AD17)-ROW(AD$15),0), 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 IF(Import.TipoArredondamento&lt;&gt;"TransfereGOV", ROUND(OFFSET($P17,0,AE$13),15-13*ORÇAMENTO!$AF$7)/$H17*OFFSET(ORÇAMENTO!$X$15,ROW(AE17)-ROW(AE$15),0), 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 IF(Import.TipoArredondamento&lt;&gt;"TransfereGOV", ROUND(OFFSET($P17,0,AF$13),15-13*ORÇAMENTO!$AF$7)/$H17*OFFSET(ORÇAMENTO!$X$15,ROW(AF17)-ROW(AF$15),0), 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 IF(Import.TipoArredondamento&lt;&gt;"TransfereGOV", ROUND(OFFSET($P17,0,AG$13),15-13*ORÇAMENTO!$AF$7)/$H17*OFFSET(ORÇAMENTO!$X$15,ROW(AG17)-ROW(AG$15),0), 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 IF(Import.TipoArredondamento&lt;&gt;"TransfereGOV", ROUND(OFFSET($P17,0,AH$13),15-13*ORÇAMENTO!$AF$7)/$H17*OFFSET(ORÇAMENTO!$X$15,ROW(AH17)-ROW(AH$15),0), 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 IF(Import.TipoArredondamento&lt;&gt;"TransfereGOV", ROUND(OFFSET($P17,0,AI$13),15-13*ORÇAMENTO!$AF$7)/$H17*OFFSET(ORÇAMENTO!$X$15,ROW(AI17)-ROW(AI$15),0), 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 IF(Import.TipoArredondamento&lt;&gt;"TransfereGOV", ROUND(OFFSET($P17,0,AJ$13),15-13*ORÇAMENTO!$AF$7)/$H17*OFFSET(ORÇAMENTO!$X$15,ROW(AJ17)-ROW(AJ$15),0), 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 IF(Import.TipoArredondamento&lt;&gt;"TransfereGOV", ROUND(OFFSET($P17,0,AK$13),15-13*ORÇAMENTO!$AF$7)/$H17*OFFSET(ORÇAMENTO!$X$15,ROW(AK17)-ROW(AK$15),0), 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25.5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>F</v>
      </c>
      <c r="D18" s="118" t="str">
        <f ca="1">OFFSET(ORÇAMENTO!N$15,ROW(D18)-ROW(D$15),0)</f>
        <v>Serviço</v>
      </c>
      <c r="E18" s="119" t="str">
        <f ca="1">OFFSET(ORÇAMENTO!O$15,ROW(E18)-ROW(E$15),0)</f>
        <v>1.1.1.</v>
      </c>
      <c r="F18" s="172" t="str">
        <f ca="1">OFFSET(ORÇAMENTO!R$15,ROW(F18)-ROW(F$15),0)</f>
        <v>Placa em aço - 3,00 x 1,50 m - película retrorrefletiva tipo I + I - fornecimento e implantação</v>
      </c>
      <c r="G18" s="173" t="str">
        <f ca="1">IF($D18&lt;&gt;"Serviço","",OFFSET(ORÇAMENTO!S$15,ROW(G18)-ROW(G$15),0))</f>
        <v>un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1</v>
      </c>
      <c r="I18" s="561"/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 xml:space="preserve">SERVIÇOS INICIAIS </v>
      </c>
      <c r="O18" s="178"/>
      <c r="Q18" s="178"/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 IF(Import.TipoArredondamento&lt;&gt;"TransfereGOV", ROUND(OFFSET($P18,0,AB$13),15-13*ORÇAMENTO!$AF$7)/$H18*OFFSET(ORÇAMENTO!$X$15,ROW(AB18)-ROW(AB$15),0), ROUND(ROUND(OFFSET($P18,0,AB$13),15-13*ORÇAMENTO!$AF$7)*OFFSET(ORÇAMENTO!$W$15,ROW(AB18)-ROW(AB$15),0),15-13*ORÇAMENTO!$AF$11)),0)</f>
        <v>0</v>
      </c>
      <c r="AC18" s="545">
        <f ca="1">IF(AND($D18="Serviço",AC$12&lt;&gt;0,$H18&gt;0,OR(AUTOEVENTO&lt;&gt;"manual",$M18&lt;&gt;1)), IF(Import.TipoArredondamento&lt;&gt;"TransfereGOV", ROUND(OFFSET($P18,0,AC$13),15-13*ORÇAMENTO!$AF$7)/$H18*OFFSET(ORÇAMENTO!$X$15,ROW(AC18)-ROW(AC$15),0), 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 IF(Import.TipoArredondamento&lt;&gt;"TransfereGOV", ROUND(OFFSET($P18,0,AD$13),15-13*ORÇAMENTO!$AF$7)/$H18*OFFSET(ORÇAMENTO!$X$15,ROW(AD18)-ROW(AD$15),0), 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 IF(Import.TipoArredondamento&lt;&gt;"TransfereGOV", ROUND(OFFSET($P18,0,AE$13),15-13*ORÇAMENTO!$AF$7)/$H18*OFFSET(ORÇAMENTO!$X$15,ROW(AE18)-ROW(AE$15),0), 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 IF(Import.TipoArredondamento&lt;&gt;"TransfereGOV", ROUND(OFFSET($P18,0,AF$13),15-13*ORÇAMENTO!$AF$7)/$H18*OFFSET(ORÇAMENTO!$X$15,ROW(AF18)-ROW(AF$15),0), 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 IF(Import.TipoArredondamento&lt;&gt;"TransfereGOV", ROUND(OFFSET($P18,0,AG$13),15-13*ORÇAMENTO!$AF$7)/$H18*OFFSET(ORÇAMENTO!$X$15,ROW(AG18)-ROW(AG$15),0), 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 IF(Import.TipoArredondamento&lt;&gt;"TransfereGOV", ROUND(OFFSET($P18,0,AH$13),15-13*ORÇAMENTO!$AF$7)/$H18*OFFSET(ORÇAMENTO!$X$15,ROW(AH18)-ROW(AH$15),0), 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 IF(Import.TipoArredondamento&lt;&gt;"TransfereGOV", ROUND(OFFSET($P18,0,AI$13),15-13*ORÇAMENTO!$AF$7)/$H18*OFFSET(ORÇAMENTO!$X$15,ROW(AI18)-ROW(AI$15),0), 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 IF(Import.TipoArredondamento&lt;&gt;"TransfereGOV", ROUND(OFFSET($P18,0,AJ$13),15-13*ORÇAMENTO!$AF$7)/$H18*OFFSET(ORÇAMENTO!$X$15,ROW(AJ18)-ROW(AJ$15),0), 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 IF(Import.TipoArredondamento&lt;&gt;"TransfereGOV", ROUND(OFFSET($P18,0,AK$13),15-13*ORÇAMENTO!$AF$7)/$H18*OFFSET(ORÇAMENTO!$X$15,ROW(AK18)-ROW(AK$15),0), 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1000000000000</v>
      </c>
      <c r="AN18" s="181">
        <f ca="1">IF($D18&lt;&gt;"Serviço",0,IF(AND(AUTOEVENTO="Manual",$M18=1),0,IF(OFFSET(CRONOPLE!$F$14,$M18,AN$13)="",10^12,OFFSET(CRONOPLE!$F$14,$M18,AN$13))))</f>
        <v>1000000000000</v>
      </c>
      <c r="AO18" s="181">
        <f ca="1">IF($D18&lt;&gt;"Serviço",0,IF(AND(AUTOEVENTO="Manual",$M18=1),0,IF(OFFSET(CRONOPLE!$F$14,$M18,AO$13)="",10^12,OFFSET(CRONOPLE!$F$14,$M18,AO$13))))</f>
        <v>1000000000000</v>
      </c>
      <c r="AP18" s="181">
        <f ca="1">IF($D18&lt;&gt;"Serviço",0,IF(AND(AUTOEVENTO="Manual",$M18=1),0,IF(OFFSET(CRONOPLE!$F$14,$M18,AP$13)="",10^12,OFFSET(CRONOPLE!$F$14,$M18,AP$13))))</f>
        <v>1000000000000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25.5" x14ac:dyDescent="0.2">
      <c r="A19" s="7" t="str">
        <f ca="1">IF(AUTOEVENTO="Manual",IF(K19&lt;&gt;"",MIN(VALUE(LEFT(K19,FIND(".",K19)-1)),COUNTA(EVENTOS.Lista)),0),IF(OR($B19&gt;AUTOEVENTO,$B19="S",$B19=0),SUBSTITUTE(OFFSET($A19,-1,0),IF($D19="Serviço",".",""),""),ROW(A19)-ROW($A$15)&amp;"."))</f>
        <v>2</v>
      </c>
      <c r="B19" s="7" t="str">
        <f ca="1">OFFSET(ORÇAMENTO!C$15,ROW(B19)-ROW(B$15),0)</f>
        <v>S</v>
      </c>
      <c r="C19" s="7" t="str">
        <f ca="1">OFFSET(ORÇAMENTO!L$15,ROW(C19)-ROW(C$15),0)</f>
        <v>F</v>
      </c>
      <c r="D19" s="118" t="str">
        <f ca="1">OFFSET(ORÇAMENTO!N$15,ROW(D19)-ROW(D$15),0)</f>
        <v>Serviço</v>
      </c>
      <c r="E19" s="119" t="str">
        <f ca="1">OFFSET(ORÇAMENTO!O$15,ROW(E19)-ROW(E$15),0)</f>
        <v>1.1.2.</v>
      </c>
      <c r="F19" s="172" t="str">
        <f ca="1">OFFSET(ORÇAMENTO!R$15,ROW(F19)-ROW(F$15),0)</f>
        <v>Suporte para placa de sinalização em madeira de lei tratada 8 x 8 cm - fornecimento e implantação</v>
      </c>
      <c r="G19" s="173" t="str">
        <f ca="1">IF($D19&lt;&gt;"Serviço","",OFFSET(ORÇAMENTO!S$15,ROW(G19)-ROW(G$15),0))</f>
        <v>un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1</v>
      </c>
      <c r="I19" s="561"/>
      <c r="K19" s="174"/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 xml:space="preserve">SERVIÇOS INICIAIS </v>
      </c>
      <c r="O19" s="178"/>
      <c r="Q19" s="178"/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 IF(Import.TipoArredondamento&lt;&gt;"TransfereGOV", ROUND(OFFSET($P19,0,AB$13),15-13*ORÇAMENTO!$AF$7)/$H19*OFFSET(ORÇAMENTO!$X$15,ROW(AB19)-ROW(AB$15),0), 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 IF(Import.TipoArredondamento&lt;&gt;"TransfereGOV", ROUND(OFFSET($P19,0,AC$13),15-13*ORÇAMENTO!$AF$7)/$H19*OFFSET(ORÇAMENTO!$X$15,ROW(AC19)-ROW(AC$15),0), 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 IF(Import.TipoArredondamento&lt;&gt;"TransfereGOV", ROUND(OFFSET($P19,0,AD$13),15-13*ORÇAMENTO!$AF$7)/$H19*OFFSET(ORÇAMENTO!$X$15,ROW(AD19)-ROW(AD$15),0), 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 IF(Import.TipoArredondamento&lt;&gt;"TransfereGOV", ROUND(OFFSET($P19,0,AE$13),15-13*ORÇAMENTO!$AF$7)/$H19*OFFSET(ORÇAMENTO!$X$15,ROW(AE19)-ROW(AE$15),0), 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 IF(Import.TipoArredondamento&lt;&gt;"TransfereGOV", ROUND(OFFSET($P19,0,AF$13),15-13*ORÇAMENTO!$AF$7)/$H19*OFFSET(ORÇAMENTO!$X$15,ROW(AF19)-ROW(AF$15),0), 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 IF(Import.TipoArredondamento&lt;&gt;"TransfereGOV", ROUND(OFFSET($P19,0,AG$13),15-13*ORÇAMENTO!$AF$7)/$H19*OFFSET(ORÇAMENTO!$X$15,ROW(AG19)-ROW(AG$15),0), 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 IF(Import.TipoArredondamento&lt;&gt;"TransfereGOV", ROUND(OFFSET($P19,0,AH$13),15-13*ORÇAMENTO!$AF$7)/$H19*OFFSET(ORÇAMENTO!$X$15,ROW(AH19)-ROW(AH$15),0), 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 IF(Import.TipoArredondamento&lt;&gt;"TransfereGOV", ROUND(OFFSET($P19,0,AI$13),15-13*ORÇAMENTO!$AF$7)/$H19*OFFSET(ORÇAMENTO!$X$15,ROW(AI19)-ROW(AI$15),0), 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 IF(Import.TipoArredondamento&lt;&gt;"TransfereGOV", ROUND(OFFSET($P19,0,AJ$13),15-13*ORÇAMENTO!$AF$7)/$H19*OFFSET(ORÇAMENTO!$X$15,ROW(AJ19)-ROW(AJ$15),0), 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 IF(Import.TipoArredondamento&lt;&gt;"TransfereGOV", ROUND(OFFSET($P19,0,AK$13),15-13*ORÇAMENTO!$AF$7)/$H19*OFFSET(ORÇAMENTO!$X$15,ROW(AK19)-ROW(AK$15),0), 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1000000000000</v>
      </c>
      <c r="AN19" s="181">
        <f ca="1">IF($D19&lt;&gt;"Serviço",0,IF(AND(AUTOEVENTO="Manual",$M19=1),0,IF(OFFSET(CRONOPLE!$F$14,$M19,AN$13)="",10^12,OFFSET(CRONOPLE!$F$14,$M19,AN$13))))</f>
        <v>1000000000000</v>
      </c>
      <c r="AO19" s="181">
        <f ca="1">IF($D19&lt;&gt;"Serviço",0,IF(AND(AUTOEVENTO="Manual",$M19=1),0,IF(OFFSET(CRONOPLE!$F$14,$M19,AO$13)="",10^12,OFFSET(CRONOPLE!$F$14,$M19,AO$13))))</f>
        <v>1000000000000</v>
      </c>
      <c r="AP19" s="181">
        <f ca="1">IF($D19&lt;&gt;"Serviço",0,IF(AND(AUTOEVENTO="Manual",$M19=1),0,IF(OFFSET(CRONOPLE!$F$14,$M19,AP$13)="",10^12,OFFSET(CRONOPLE!$F$14,$M19,AP$13))))</f>
        <v>1000000000000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12.75" x14ac:dyDescent="0.2">
      <c r="A20" s="7" t="str">
        <f t="shared" ref="A20:A25" ca="1" si="9">IF(AUTOEVENTO="Manual",IF(K20&lt;&gt;"",MIN(VALUE(LEFT(K20,FIND(".",K20)-1)),COUNTA(EVENTOS.Lista)),0),IF(OR($B20&gt;AUTOEVENTO,$B20="S",$B20=0),SUBSTITUTE(OFFSET($A20,-1,0),IF($D20="Serviço",".",""),""),ROW(A20)-ROW($A$15)&amp;"."))</f>
        <v>2</v>
      </c>
      <c r="B20" s="7" t="str">
        <f ca="1">OFFSET(ORÇAMENTO!C$15,ROW(B20)-ROW(B$15),0)</f>
        <v>S</v>
      </c>
      <c r="C20" s="7" t="str">
        <f ca="1">OFFSET(ORÇAMENTO!L$15,ROW(C20)-ROW(C$15),0)</f>
        <v>F</v>
      </c>
      <c r="D20" s="118" t="str">
        <f ca="1">OFFSET(ORÇAMENTO!N$15,ROW(D20)-ROW(D$15),0)</f>
        <v>Serviço</v>
      </c>
      <c r="E20" s="119" t="str">
        <f ca="1">OFFSET(ORÇAMENTO!O$15,ROW(E20)-ROW(E$15),0)</f>
        <v>1.1.3.</v>
      </c>
      <c r="F20" s="172" t="str">
        <f ca="1">OFFSET(ORÇAMENTO!R$15,ROW(F20)-ROW(F$15),0)</f>
        <v xml:space="preserve">MOBILIZAÇÃO E DESMOBILIZAÇÃO </v>
      </c>
      <c r="G20" s="173" t="str">
        <f ca="1">IF($D20&lt;&gt;"Serviço","",OFFSET(ORÇAMENTO!S$15,ROW(G20)-ROW(G$15),0))</f>
        <v>UNID.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1</v>
      </c>
      <c r="I20" s="561"/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 xml:space="preserve">SERVIÇOS INICIAIS </v>
      </c>
      <c r="O20" s="178"/>
      <c r="Q20" s="178"/>
      <c r="R20" s="179"/>
      <c r="S20" s="179"/>
      <c r="T20" s="179"/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 IF(Import.TipoArredondamento&lt;&gt;"TransfereGOV", ROUND(OFFSET($P20,0,AB$13),15-13*ORÇAMENTO!$AF$7)/$H20*OFFSET(ORÇAMENTO!$X$15,ROW(AB20)-ROW(AB$15),0), ROUND(ROUND(OFFSET($P20,0,AB$13),15-13*ORÇAMENTO!$AF$7)*OFFSET(ORÇAMENTO!$W$15,ROW(AB20)-ROW(AB$15),0),15-13*ORÇAMENTO!$AF$11)),0)</f>
        <v>0</v>
      </c>
      <c r="AC20" s="545">
        <f ca="1">IF(AND($D20="Serviço",AC$12&lt;&gt;0,$H20&gt;0,OR(AUTOEVENTO&lt;&gt;"manual",$M20&lt;&gt;1)), IF(Import.TipoArredondamento&lt;&gt;"TransfereGOV", ROUND(OFFSET($P20,0,AC$13),15-13*ORÇAMENTO!$AF$7)/$H20*OFFSET(ORÇAMENTO!$X$15,ROW(AC20)-ROW(AC$15),0), ROUND(ROUND(OFFSET($P20,0,AC$13),15-13*ORÇAMENTO!$AF$7)*OFFSET(ORÇAMENTO!$W$15,ROW(AC20)-ROW(AC$15),0),15-13*ORÇAMENTO!$AF$11)),0)</f>
        <v>0</v>
      </c>
      <c r="AD20" s="545">
        <f ca="1">IF(AND($D20="Serviço",AD$12&lt;&gt;0,$H20&gt;0,OR(AUTOEVENTO&lt;&gt;"manual",$M20&lt;&gt;1)), IF(Import.TipoArredondamento&lt;&gt;"TransfereGOV", ROUND(OFFSET($P20,0,AD$13),15-13*ORÇAMENTO!$AF$7)/$H20*OFFSET(ORÇAMENTO!$X$15,ROW(AD20)-ROW(AD$15),0), ROUND(ROUND(OFFSET($P20,0,AD$13),15-13*ORÇAMENTO!$AF$7)*OFFSET(ORÇAMENTO!$W$15,ROW(AD20)-ROW(AD$15),0),15-13*ORÇAMENTO!$AF$11)),0)</f>
        <v>0</v>
      </c>
      <c r="AE20" s="545">
        <f ca="1">IF(AND($D20="Serviço",AE$12&lt;&gt;0,$H20&gt;0,OR(AUTOEVENTO&lt;&gt;"manual",$M20&lt;&gt;1)), IF(Import.TipoArredondamento&lt;&gt;"TransfereGOV", ROUND(OFFSET($P20,0,AE$13),15-13*ORÇAMENTO!$AF$7)/$H20*OFFSET(ORÇAMENTO!$X$15,ROW(AE20)-ROW(AE$15),0), ROUND(ROUND(OFFSET($P20,0,AE$13),15-13*ORÇAMENTO!$AF$7)*OFFSET(ORÇAMENTO!$W$15,ROW(AE20)-ROW(AE$15),0),15-13*ORÇAMENTO!$AF$11)),0)</f>
        <v>0</v>
      </c>
      <c r="AF20" s="545">
        <f ca="1">IF(AND($D20="Serviço",AF$12&lt;&gt;0,$H20&gt;0,OR(AUTOEVENTO&lt;&gt;"manual",$M20&lt;&gt;1)), IF(Import.TipoArredondamento&lt;&gt;"TransfereGOV", ROUND(OFFSET($P20,0,AF$13),15-13*ORÇAMENTO!$AF$7)/$H20*OFFSET(ORÇAMENTO!$X$15,ROW(AF20)-ROW(AF$15),0), 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 IF(Import.TipoArredondamento&lt;&gt;"TransfereGOV", ROUND(OFFSET($P20,0,AG$13),15-13*ORÇAMENTO!$AF$7)/$H20*OFFSET(ORÇAMENTO!$X$15,ROW(AG20)-ROW(AG$15),0), 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 IF(Import.TipoArredondamento&lt;&gt;"TransfereGOV", ROUND(OFFSET($P20,0,AH$13),15-13*ORÇAMENTO!$AF$7)/$H20*OFFSET(ORÇAMENTO!$X$15,ROW(AH20)-ROW(AH$15),0), 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 IF(Import.TipoArredondamento&lt;&gt;"TransfereGOV", ROUND(OFFSET($P20,0,AI$13),15-13*ORÇAMENTO!$AF$7)/$H20*OFFSET(ORÇAMENTO!$X$15,ROW(AI20)-ROW(AI$15),0), 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 IF(Import.TipoArredondamento&lt;&gt;"TransfereGOV", ROUND(OFFSET($P20,0,AJ$13),15-13*ORÇAMENTO!$AF$7)/$H20*OFFSET(ORÇAMENTO!$X$15,ROW(AJ20)-ROW(AJ$15),0), 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 IF(Import.TipoArredondamento&lt;&gt;"TransfereGOV", ROUND(OFFSET($P20,0,AK$13),15-13*ORÇAMENTO!$AF$7)/$H20*OFFSET(ORÇAMENTO!$X$15,ROW(AK20)-ROW(AK$15),0), 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1000000000000</v>
      </c>
      <c r="AN20" s="181">
        <f ca="1">IF($D20&lt;&gt;"Serviço",0,IF(AND(AUTOEVENTO="Manual",$M20=1),0,IF(OFFSET(CRONOPLE!$F$14,$M20,AN$13)="",10^12,OFFSET(CRONOPLE!$F$14,$M20,AN$13))))</f>
        <v>1000000000000</v>
      </c>
      <c r="AO20" s="181">
        <f ca="1">IF($D20&lt;&gt;"Serviço",0,IF(AND(AUTOEVENTO="Manual",$M20=1),0,IF(OFFSET(CRONOPLE!$F$14,$M20,AO$13)="",10^12,OFFSET(CRONOPLE!$F$14,$M20,AO$13))))</f>
        <v>1000000000000</v>
      </c>
      <c r="AP20" s="181">
        <f ca="1">IF($D20&lt;&gt;"Serviço",0,IF(AND(AUTOEVENTO="Manual",$M20=1),0,IF(OFFSET(CRONOPLE!$F$14,$M20,AP$13)="",10^12,OFFSET(CRONOPLE!$F$14,$M20,AP$13))))</f>
        <v>1000000000000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12.75" x14ac:dyDescent="0.2">
      <c r="A21" s="7" t="str">
        <f t="shared" ca="1" si="9"/>
        <v>6.</v>
      </c>
      <c r="B21" s="7">
        <f ca="1">OFFSET(ORÇAMENTO!C$15,ROW(B21)-ROW(B$15),0)</f>
        <v>2</v>
      </c>
      <c r="C21" s="7" t="str">
        <f ca="1">OFFSET(ORÇAMENTO!L$15,ROW(C21)-ROW(C$15),0)</f>
        <v>F</v>
      </c>
      <c r="D21" s="118" t="str">
        <f ca="1">OFFSET(ORÇAMENTO!N$15,ROW(D21)-ROW(D$15),0)</f>
        <v>Nível 2</v>
      </c>
      <c r="E21" s="119" t="str">
        <f ca="1">OFFSET(ORÇAMENTO!O$15,ROW(E21)-ROW(E$15),0)</f>
        <v>1.2.</v>
      </c>
      <c r="F21" s="172" t="str">
        <f ca="1">OFFSET(ORÇAMENTO!R$15,ROW(F21)-ROW(F$15),0)</f>
        <v>ADMINISTRAÇÃO LOCAL</v>
      </c>
      <c r="G21" s="173" t="str">
        <f ca="1">IF($D21&lt;&gt;"Serviço","",OFFSET(ORÇAMENTO!S$15,ROW(G21)-ROW(G$15),0))</f>
        <v/>
      </c>
      <c r="H21" s="124">
        <f ca="1">IF($D21&lt;&gt;"Serviço",0,IF(ACOMPANHAMENTO="BM",ROUND(OFFSET(ORÇAMENTO!AJ$15,ROW(H21)-ROW(H$15),0),15-13*ORÇAMENTO!$AF$7),SUMPRODUCT(($Q$12:$AA$12&lt;&gt;"")*ROUND($Q21:$AA21,15-13*ORÇAMENTO!$AF$7))))</f>
        <v>0</v>
      </c>
      <c r="I21" s="561"/>
      <c r="K21" s="174"/>
      <c r="L21" s="175" t="s">
        <v>255</v>
      </c>
      <c r="M21" s="176" t="str">
        <f ca="1">IF($D21&lt;&gt;"Serviço","",IF(AUTOEVENTO="manual",$A21,IF(ISERROR(MATCH($A21,$A$15:OFFSET($A21,-1,0),0)),MAX($M$15:OFFSET(M21,-1,0))+1,INDEX($M$15:OFFSET(M21,-1,0),MATCH($A21,$A$15:OFFSET($A21,-1,0),0)))))</f>
        <v/>
      </c>
      <c r="N21" s="177" t="str">
        <f ca="1">IF($D21&lt;&gt;"Serviço","",IF(AUTOEVENTO="Manual",IF($A21=0,"&lt;-- defina o número do agrupador",OFFSET(EVENTOS!$D$14,$A21,0)),OFFSET($F$15,$A21,0)))</f>
        <v/>
      </c>
      <c r="O21" s="178"/>
      <c r="Q21" s="178"/>
      <c r="R21" s="179"/>
      <c r="S21" s="179"/>
      <c r="T21" s="179"/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 IF(Import.TipoArredondamento&lt;&gt;"TransfereGOV", ROUND(OFFSET($P21,0,AB$13),15-13*ORÇAMENTO!$AF$7)/$H21*OFFSET(ORÇAMENTO!$X$15,ROW(AB21)-ROW(AB$15),0), ROUND(ROUND(OFFSET($P21,0,AB$13),15-13*ORÇAMENTO!$AF$7)*OFFSET(ORÇAMENTO!$W$15,ROW(AB21)-ROW(AB$15),0),15-13*ORÇAMENTO!$AF$11)),0)</f>
        <v>0</v>
      </c>
      <c r="AC21" s="545">
        <f ca="1">IF(AND($D21="Serviço",AC$12&lt;&gt;0,$H21&gt;0,OR(AUTOEVENTO&lt;&gt;"manual",$M21&lt;&gt;1)), IF(Import.TipoArredondamento&lt;&gt;"TransfereGOV", ROUND(OFFSET($P21,0,AC$13),15-13*ORÇAMENTO!$AF$7)/$H21*OFFSET(ORÇAMENTO!$X$15,ROW(AC21)-ROW(AC$15),0), ROUND(ROUND(OFFSET($P21,0,AC$13),15-13*ORÇAMENTO!$AF$7)*OFFSET(ORÇAMENTO!$W$15,ROW(AC21)-ROW(AC$15),0),15-13*ORÇAMENTO!$AF$11)),0)</f>
        <v>0</v>
      </c>
      <c r="AD21" s="545">
        <f ca="1">IF(AND($D21="Serviço",AD$12&lt;&gt;0,$H21&gt;0,OR(AUTOEVENTO&lt;&gt;"manual",$M21&lt;&gt;1)), IF(Import.TipoArredondamento&lt;&gt;"TransfereGOV", ROUND(OFFSET($P21,0,AD$13),15-13*ORÇAMENTO!$AF$7)/$H21*OFFSET(ORÇAMENTO!$X$15,ROW(AD21)-ROW(AD$15),0), ROUND(ROUND(OFFSET($P21,0,AD$13),15-13*ORÇAMENTO!$AF$7)*OFFSET(ORÇAMENTO!$W$15,ROW(AD21)-ROW(AD$15),0),15-13*ORÇAMENTO!$AF$11)),0)</f>
        <v>0</v>
      </c>
      <c r="AE21" s="545">
        <f ca="1">IF(AND($D21="Serviço",AE$12&lt;&gt;0,$H21&gt;0,OR(AUTOEVENTO&lt;&gt;"manual",$M21&lt;&gt;1)), IF(Import.TipoArredondamento&lt;&gt;"TransfereGOV", ROUND(OFFSET($P21,0,AE$13),15-13*ORÇAMENTO!$AF$7)/$H21*OFFSET(ORÇAMENTO!$X$15,ROW(AE21)-ROW(AE$15),0), ROUND(ROUND(OFFSET($P21,0,AE$13),15-13*ORÇAMENTO!$AF$7)*OFFSET(ORÇAMENTO!$W$15,ROW(AE21)-ROW(AE$15),0),15-13*ORÇAMENTO!$AF$11)),0)</f>
        <v>0</v>
      </c>
      <c r="AF21" s="545">
        <f ca="1">IF(AND($D21="Serviço",AF$12&lt;&gt;0,$H21&gt;0,OR(AUTOEVENTO&lt;&gt;"manual",$M21&lt;&gt;1)), IF(Import.TipoArredondamento&lt;&gt;"TransfereGOV", ROUND(OFFSET($P21,0,AF$13),15-13*ORÇAMENTO!$AF$7)/$H21*OFFSET(ORÇAMENTO!$X$15,ROW(AF21)-ROW(AF$15),0), 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 IF(Import.TipoArredondamento&lt;&gt;"TransfereGOV", ROUND(OFFSET($P21,0,AG$13),15-13*ORÇAMENTO!$AF$7)/$H21*OFFSET(ORÇAMENTO!$X$15,ROW(AG21)-ROW(AG$15),0), 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 IF(Import.TipoArredondamento&lt;&gt;"TransfereGOV", ROUND(OFFSET($P21,0,AH$13),15-13*ORÇAMENTO!$AF$7)/$H21*OFFSET(ORÇAMENTO!$X$15,ROW(AH21)-ROW(AH$15),0), 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 IF(Import.TipoArredondamento&lt;&gt;"TransfereGOV", ROUND(OFFSET($P21,0,AI$13),15-13*ORÇAMENTO!$AF$7)/$H21*OFFSET(ORÇAMENTO!$X$15,ROW(AI21)-ROW(AI$15),0), 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 IF(Import.TipoArredondamento&lt;&gt;"TransfereGOV", ROUND(OFFSET($P21,0,AJ$13),15-13*ORÇAMENTO!$AF$7)/$H21*OFFSET(ORÇAMENTO!$X$15,ROW(AJ21)-ROW(AJ$15),0), 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 IF(Import.TipoArredondamento&lt;&gt;"TransfereGOV", ROUND(OFFSET($P21,0,AK$13),15-13*ORÇAMENTO!$AF$7)/$H21*OFFSET(ORÇAMENTO!$X$15,ROW(AK21)-ROW(AK$15),0), 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0</v>
      </c>
      <c r="AN21" s="181">
        <f ca="1">IF($D21&lt;&gt;"Serviço",0,IF(AND(AUTOEVENTO="Manual",$M21=1),0,IF(OFFSET(CRONOPLE!$F$14,$M21,AN$13)="",10^12,OFFSET(CRONOPLE!$F$14,$M21,AN$13))))</f>
        <v>0</v>
      </c>
      <c r="AO21" s="181">
        <f ca="1">IF($D21&lt;&gt;"Serviço",0,IF(AND(AUTOEVENTO="Manual",$M21=1),0,IF(OFFSET(CRONOPLE!$F$14,$M21,AO$13)="",10^12,OFFSET(CRONOPLE!$F$14,$M21,AO$13))))</f>
        <v>0</v>
      </c>
      <c r="AP21" s="181">
        <f ca="1">IF($D21&lt;&gt;"Serviço",0,IF(AND(AUTOEVENTO="Manual",$M21=1),0,IF(OFFSET(CRONOPLE!$F$14,$M21,AP$13)="",10^12,OFFSET(CRONOPLE!$F$14,$M21,AP$13))))</f>
        <v>0</v>
      </c>
      <c r="AQ21" s="181">
        <f ca="1">IF($D21&lt;&gt;"Serviço",0,IF(AND(AUTOEVENTO="Manual",$M21=1),0,IF(OFFSET(CRONOPLE!$F$14,$M21,AQ$13)="",10^12,OFFSET(CRONOPLE!$F$14,$M21,AQ$13))))</f>
        <v>0</v>
      </c>
      <c r="AR21" s="181">
        <f ca="1">IF($D21&lt;&gt;"Serviço",0,IF(AND(AUTOEVENTO="Manual",$M21=1),0,IF(OFFSET(CRONOPLE!$F$14,$M21,AR$13)="",10^12,OFFSET(CRONOPLE!$F$14,$M21,AR$13))))</f>
        <v>0</v>
      </c>
      <c r="AS21" s="181">
        <f ca="1">IF($D21&lt;&gt;"Serviço",0,IF(AND(AUTOEVENTO="Manual",$M21=1),0,IF(OFFSET(CRONOPLE!$F$14,$M21,AS$13)="",10^12,OFFSET(CRONOPLE!$F$14,$M21,AS$13))))</f>
        <v>0</v>
      </c>
      <c r="AT21" s="181">
        <f ca="1">IF($D21&lt;&gt;"Serviço",0,IF(AND(AUTOEVENTO="Manual",$M21=1),0,IF(OFFSET(CRONOPLE!$F$14,$M21,AT$13)="",10^12,OFFSET(CRONOPLE!$F$14,$M21,AT$13))))</f>
        <v>0</v>
      </c>
      <c r="AU21" s="181">
        <f ca="1">IF($D21&lt;&gt;"Serviço",0,IF(AND(AUTOEVENTO="Manual",$M21=1),0,IF(OFFSET(CRONOPLE!$F$14,$M21,AU$13)="",10^12,OFFSET(CRONOPLE!$F$14,$M21,AU$13))))</f>
        <v>0</v>
      </c>
      <c r="AV21" s="181">
        <f ca="1">IF($D21&lt;&gt;"Serviço",0,IF(AND(AUTOEVENTO="Manual",$M21=1),0,IF(OFFSET(CRONOPLE!$F$14,$M21,AV$13)="",10^12,OFFSET(CRONOPLE!$F$14,$M21,AV$13))))</f>
        <v>0</v>
      </c>
      <c r="AX21" s="182">
        <f ca="1">IF($D21&lt;&gt;"Serviço",0,IF(OR(AND(AUTOEVENTO="Manual",$M21=1),$M21&gt;(ROW(PLE.lastrow)-ROW(PLE.firstrow))),0,IF(OFFSET(PLE!$G$14,$M21,AX$13)="",10^12,OFFSET(PLE!$G$14,$M21,AX$13))))</f>
        <v>0</v>
      </c>
      <c r="AY21" s="182">
        <f ca="1">IF($D21&lt;&gt;"Serviço",0,IF(OR(AND(AUTOEVENTO="Manual",$M21=1),$M21&gt;(ROW(PLE.lastrow)-ROW(PLE.firstrow))),0,IF(OFFSET(PLE!$G$14,$M21,AY$13)="",10^12,OFFSET(PLE!$G$14,$M21,AY$13))))</f>
        <v>0</v>
      </c>
      <c r="AZ21" s="182">
        <f ca="1">IF($D21&lt;&gt;"Serviço",0,IF(OR(AND(AUTOEVENTO="Manual",$M21=1),$M21&gt;(ROW(PLE.lastrow)-ROW(PLE.firstrow))),0,IF(OFFSET(PLE!$G$14,$M21,AZ$13)="",10^12,OFFSET(PLE!$G$14,$M21,AZ$13))))</f>
        <v>0</v>
      </c>
      <c r="BA21" s="182">
        <f ca="1">IF($D21&lt;&gt;"Serviço",0,IF(OR(AND(AUTOEVENTO="Manual",$M21=1),$M21&gt;(ROW(PLE.lastrow)-ROW(PLE.firstrow))),0,IF(OFFSET(PLE!$G$14,$M21,BA$13)="",10^12,OFFSET(PLE!$G$14,$M21,BA$13))))</f>
        <v>0</v>
      </c>
      <c r="BB21" s="182">
        <f ca="1">IF($D21&lt;&gt;"Serviço",0,IF(OR(AND(AUTOEVENTO="Manual",$M21=1),$M21&gt;(ROW(PLE.lastrow)-ROW(PLE.firstrow))),0,IF(OFFSET(PLE!$G$14,$M21,BB$13)="",10^12,OFFSET(PLE!$G$14,$M21,BB$13))))</f>
        <v>0</v>
      </c>
      <c r="BC21" s="182">
        <f ca="1">IF($D21&lt;&gt;"Serviço",0,IF(OR(AND(AUTOEVENTO="Manual",$M21=1),$M21&gt;(ROW(PLE.lastrow)-ROW(PLE.firstrow))),0,IF(OFFSET(PLE!$G$14,$M21,BC$13)="",10^12,OFFSET(PLE!$G$14,$M21,BC$13))))</f>
        <v>0</v>
      </c>
      <c r="BD21" s="182">
        <f ca="1">IF($D21&lt;&gt;"Serviço",0,IF(OR(AND(AUTOEVENTO="Manual",$M21=1),$M21&gt;(ROW(PLE.lastrow)-ROW(PLE.firstrow))),0,IF(OFFSET(PLE!$G$14,$M21,BD$13)="",10^12,OFFSET(PLE!$G$14,$M21,BD$13))))</f>
        <v>0</v>
      </c>
      <c r="BE21" s="182">
        <f ca="1">IF($D21&lt;&gt;"Serviço",0,IF(OR(AND(AUTOEVENTO="Manual",$M21=1),$M21&gt;(ROW(PLE.lastrow)-ROW(PLE.firstrow))),0,IF(OFFSET(PLE!$G$14,$M21,BE$13)="",10^12,OFFSET(PLE!$G$14,$M21,BE$13))))</f>
        <v>0</v>
      </c>
      <c r="BF21" s="182">
        <f ca="1">IF($D21&lt;&gt;"Serviço",0,IF(OR(AND(AUTOEVENTO="Manual",$M21=1),$M21&gt;(ROW(PLE.lastrow)-ROW(PLE.firstrow))),0,IF(OFFSET(PLE!$G$14,$M21,BF$13)="",10^12,OFFSET(PLE!$G$14,$M21,BF$13))))</f>
        <v>0</v>
      </c>
      <c r="BG21" s="182">
        <f ca="1">IF($D21&lt;&gt;"Serviço",0,IF(OR(AND(AUTOEVENTO="Manual",$M21=1),$M21&gt;(ROW(PLE.lastrow)-ROW(PLE.firstrow))),0,IF(OFFSET(PLE!$G$14,$M21,BG$13)="",10^12,OFFSET(PLE!$G$14,$M21,BG$13))))</f>
        <v>0</v>
      </c>
    </row>
    <row r="22" spans="1:59" ht="12.75" x14ac:dyDescent="0.2">
      <c r="A22" s="7" t="str">
        <f t="shared" ca="1" si="9"/>
        <v>6</v>
      </c>
      <c r="B22" s="7" t="str">
        <f ca="1">OFFSET(ORÇAMENTO!C$15,ROW(B22)-ROW(B$15),0)</f>
        <v>S</v>
      </c>
      <c r="C22" s="7" t="str">
        <f ca="1">OFFSET(ORÇAMENTO!L$15,ROW(C22)-ROW(C$15),0)</f>
        <v>F</v>
      </c>
      <c r="D22" s="118" t="str">
        <f ca="1">OFFSET(ORÇAMENTO!N$15,ROW(D22)-ROW(D$15),0)</f>
        <v>Serviço</v>
      </c>
      <c r="E22" s="119" t="str">
        <f ca="1">OFFSET(ORÇAMENTO!O$15,ROW(E22)-ROW(E$15),0)</f>
        <v>1.2.1.</v>
      </c>
      <c r="F22" s="172" t="str">
        <f ca="1">OFFSET(ORÇAMENTO!R$15,ROW(F22)-ROW(F$15),0)</f>
        <v>Engenheiro</v>
      </c>
      <c r="G22" s="173" t="str">
        <f ca="1">IF($D22&lt;&gt;"Serviço","",OFFSET(ORÇAMENTO!S$15,ROW(G22)-ROW(G$15),0))</f>
        <v>h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15</v>
      </c>
      <c r="I22" s="561"/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3</v>
      </c>
      <c r="N22" s="177" t="str">
        <f ca="1">IF($D22&lt;&gt;"Serviço","",IF(AUTOEVENTO="Manual",IF($A22=0,"&lt;-- defina o número do agrupador",OFFSET(EVENTOS!$D$14,$A22,0)),OFFSET($F$15,$A22,0)))</f>
        <v>ADMINISTRAÇÃO LOCAL</v>
      </c>
      <c r="O22" s="178"/>
      <c r="Q22" s="178"/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 IF(Import.TipoArredondamento&lt;&gt;"TransfereGOV", ROUND(OFFSET($P22,0,AB$13),15-13*ORÇAMENTO!$AF$7)/$H22*OFFSET(ORÇAMENTO!$X$15,ROW(AB22)-ROW(AB$15),0), ROUND(ROUND(OFFSET($P22,0,AB$13),15-13*ORÇAMENTO!$AF$7)*OFFSET(ORÇAMENTO!$W$15,ROW(AB22)-ROW(AB$15),0),15-13*ORÇAMENTO!$AF$11)),0)</f>
        <v>0</v>
      </c>
      <c r="AC22" s="545">
        <f ca="1">IF(AND($D22="Serviço",AC$12&lt;&gt;0,$H22&gt;0,OR(AUTOEVENTO&lt;&gt;"manual",$M22&lt;&gt;1)), IF(Import.TipoArredondamento&lt;&gt;"TransfereGOV", ROUND(OFFSET($P22,0,AC$13),15-13*ORÇAMENTO!$AF$7)/$H22*OFFSET(ORÇAMENTO!$X$15,ROW(AC22)-ROW(AC$15),0), 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 IF(Import.TipoArredondamento&lt;&gt;"TransfereGOV", ROUND(OFFSET($P22,0,AD$13),15-13*ORÇAMENTO!$AF$7)/$H22*OFFSET(ORÇAMENTO!$X$15,ROW(AD22)-ROW(AD$15),0), 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 IF(Import.TipoArredondamento&lt;&gt;"TransfereGOV", ROUND(OFFSET($P22,0,AE$13),15-13*ORÇAMENTO!$AF$7)/$H22*OFFSET(ORÇAMENTO!$X$15,ROW(AE22)-ROW(AE$15),0), 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 IF(Import.TipoArredondamento&lt;&gt;"TransfereGOV", ROUND(OFFSET($P22,0,AF$13),15-13*ORÇAMENTO!$AF$7)/$H22*OFFSET(ORÇAMENTO!$X$15,ROW(AF22)-ROW(AF$15),0), 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 IF(Import.TipoArredondamento&lt;&gt;"TransfereGOV", ROUND(OFFSET($P22,0,AG$13),15-13*ORÇAMENTO!$AF$7)/$H22*OFFSET(ORÇAMENTO!$X$15,ROW(AG22)-ROW(AG$15),0), 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 IF(Import.TipoArredondamento&lt;&gt;"TransfereGOV", ROUND(OFFSET($P22,0,AH$13),15-13*ORÇAMENTO!$AF$7)/$H22*OFFSET(ORÇAMENTO!$X$15,ROW(AH22)-ROW(AH$15),0), 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 IF(Import.TipoArredondamento&lt;&gt;"TransfereGOV", ROUND(OFFSET($P22,0,AI$13),15-13*ORÇAMENTO!$AF$7)/$H22*OFFSET(ORÇAMENTO!$X$15,ROW(AI22)-ROW(AI$15),0), 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 IF(Import.TipoArredondamento&lt;&gt;"TransfereGOV", ROUND(OFFSET($P22,0,AJ$13),15-13*ORÇAMENTO!$AF$7)/$H22*OFFSET(ORÇAMENTO!$X$15,ROW(AJ22)-ROW(AJ$15),0), 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 IF(Import.TipoArredondamento&lt;&gt;"TransfereGOV", ROUND(OFFSET($P22,0,AK$13),15-13*ORÇAMENTO!$AF$7)/$H22*OFFSET(ORÇAMENTO!$X$15,ROW(AK22)-ROW(AK$15),0), 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1000000000000</v>
      </c>
      <c r="AN22" s="181">
        <f ca="1">IF($D22&lt;&gt;"Serviço",0,IF(AND(AUTOEVENTO="Manual",$M22=1),0,IF(OFFSET(CRONOPLE!$F$14,$M22,AN$13)="",10^12,OFFSET(CRONOPLE!$F$14,$M22,AN$13))))</f>
        <v>1000000000000</v>
      </c>
      <c r="AO22" s="181">
        <f ca="1">IF($D22&lt;&gt;"Serviço",0,IF(AND(AUTOEVENTO="Manual",$M22=1),0,IF(OFFSET(CRONOPLE!$F$14,$M22,AO$13)="",10^12,OFFSET(CRONOPLE!$F$14,$M22,AO$13))))</f>
        <v>1000000000000</v>
      </c>
      <c r="AP22" s="181">
        <f ca="1">IF($D22&lt;&gt;"Serviço",0,IF(AND(AUTOEVENTO="Manual",$M22=1),0,IF(OFFSET(CRONOPLE!$F$14,$M22,AP$13)="",10^12,OFFSET(CRONOPLE!$F$14,$M22,AP$13))))</f>
        <v>1000000000000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s="577" customFormat="1" ht="12.75" x14ac:dyDescent="0.2">
      <c r="A23" s="7" t="str">
        <f ca="1">IF(AUTOEVENTO="Manual",IF(K23&lt;&gt;"",MIN(VALUE(LEFT(K23,FIND(".",K23)-1)),COUNTA(EVENTOS.Lista)),0),IF(OR($B23&gt;AUTOEVENTO,$B23="S",$B23=0),SUBSTITUTE(OFFSET($A23,-1,0),IF($D23="Serviço",".",""),""),ROW(A23)-ROW($A$15)&amp;"."))</f>
        <v>6</v>
      </c>
      <c r="B23" s="7" t="str">
        <f ca="1">OFFSET(ORÇAMENTO!C$15,ROW(B23)-ROW(B$15),0)</f>
        <v>S</v>
      </c>
      <c r="C23" s="7" t="str">
        <f ca="1">OFFSET(ORÇAMENTO!L$15,ROW(C23)-ROW(C$15),0)</f>
        <v>F</v>
      </c>
      <c r="D23" s="118" t="str">
        <f ca="1">OFFSET(ORÇAMENTO!N$15,ROW(D23)-ROW(D$15),0)</f>
        <v>Serviço</v>
      </c>
      <c r="E23" s="119" t="str">
        <f ca="1">OFFSET(ORÇAMENTO!O$15,ROW(E23)-ROW(E$15),0)</f>
        <v>1.2.2.</v>
      </c>
      <c r="F23" s="172" t="str">
        <f ca="1">OFFSET(ORÇAMENTO!R$15,ROW(F23)-ROW(F$15),0)</f>
        <v>Encarregado de pavimentação</v>
      </c>
      <c r="G23" s="173" t="str">
        <f ca="1">IF($D23&lt;&gt;"Serviço","",OFFSET(ORÇAMENTO!S$15,ROW(G23)-ROW(G$15),0))</f>
        <v>h</v>
      </c>
      <c r="H23" s="124">
        <f ca="1">IF($D23&lt;&gt;"Serviço",0,IF(ACOMPANHAMENTO="BM",ROUND(OFFSET(ORÇAMENTO!AJ$15,ROW(H23)-ROW(H$15),0),15-13*ORÇAMENTO!$AF$7),SUMPRODUCT(($Q$12:$AA$12&lt;&gt;"")*ROUND($Q23:$AA23,15-13*ORÇAMENTO!$AF$7))))</f>
        <v>60</v>
      </c>
      <c r="I23" s="561"/>
      <c r="K23" s="174"/>
      <c r="L23" s="175" t="s">
        <v>255</v>
      </c>
      <c r="M23" s="176">
        <f ca="1">IF($D23&lt;&gt;"Serviço","",IF(AUTOEVENTO="manual",$A23,IF(ISERROR(MATCH($A23,$A$15:OFFSET($A23,-1,0),0)),MAX($M$15:OFFSET(M23,-1,0))+1,INDEX($M$15:OFFSET(M23,-1,0),MATCH($A23,$A$15:OFFSET($A23,-1,0),0)))))</f>
        <v>3</v>
      </c>
      <c r="N23" s="177" t="str">
        <f ca="1">IF($D23&lt;&gt;"Serviço","",IF(AUTOEVENTO="Manual",IF($A23=0,"&lt;-- defina o número do agrupador",OFFSET(EVENTOS!$D$14,$A23,0)),OFFSET($F$15,$A23,0)))</f>
        <v>ADMINISTRAÇÃO LOCAL</v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 IF(Import.TipoArredondamento&lt;&gt;"TransfereGOV", ROUND(OFFSET($P23,0,AB$13),15-13*ORÇAMENTO!$AF$7)/$H23*OFFSET(ORÇAMENTO!$X$15,ROW(AB23)-ROW(AB$15),0), 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 IF(Import.TipoArredondamento&lt;&gt;"TransfereGOV", ROUND(OFFSET($P23,0,AC$13),15-13*ORÇAMENTO!$AF$7)/$H23*OFFSET(ORÇAMENTO!$X$15,ROW(AC23)-ROW(AC$15),0), 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 IF(Import.TipoArredondamento&lt;&gt;"TransfereGOV", ROUND(OFFSET($P23,0,AD$13),15-13*ORÇAMENTO!$AF$7)/$H23*OFFSET(ORÇAMENTO!$X$15,ROW(AD23)-ROW(AD$15),0), 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 IF(Import.TipoArredondamento&lt;&gt;"TransfereGOV", ROUND(OFFSET($P23,0,AE$13),15-13*ORÇAMENTO!$AF$7)/$H23*OFFSET(ORÇAMENTO!$X$15,ROW(AE23)-ROW(AE$15),0), 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 IF(Import.TipoArredondamento&lt;&gt;"TransfereGOV", ROUND(OFFSET($P23,0,AF$13),15-13*ORÇAMENTO!$AF$7)/$H23*OFFSET(ORÇAMENTO!$X$15,ROW(AF23)-ROW(AF$15),0), 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 IF(Import.TipoArredondamento&lt;&gt;"TransfereGOV", ROUND(OFFSET($P23,0,AG$13),15-13*ORÇAMENTO!$AF$7)/$H23*OFFSET(ORÇAMENTO!$X$15,ROW(AG23)-ROW(AG$15),0), 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 IF(Import.TipoArredondamento&lt;&gt;"TransfereGOV", ROUND(OFFSET($P23,0,AH$13),15-13*ORÇAMENTO!$AF$7)/$H23*OFFSET(ORÇAMENTO!$X$15,ROW(AH23)-ROW(AH$15),0), 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 IF(Import.TipoArredondamento&lt;&gt;"TransfereGOV", ROUND(OFFSET($P23,0,AI$13),15-13*ORÇAMENTO!$AF$7)/$H23*OFFSET(ORÇAMENTO!$X$15,ROW(AI23)-ROW(AI$15),0), 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 IF(Import.TipoArredondamento&lt;&gt;"TransfereGOV", ROUND(OFFSET($P23,0,AJ$13),15-13*ORÇAMENTO!$AF$7)/$H23*OFFSET(ORÇAMENTO!$X$15,ROW(AJ23)-ROW(AJ$15),0), 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 IF(Import.TipoArredondamento&lt;&gt;"TransfereGOV", ROUND(OFFSET($P23,0,AK$13),15-13*ORÇAMENTO!$AF$7)/$H23*OFFSET(ORÇAMENTO!$X$15,ROW(AK23)-ROW(AK$15),0), 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1000000000000</v>
      </c>
      <c r="AN23" s="181">
        <f ca="1">IF($D23&lt;&gt;"Serviço",0,IF(AND(AUTOEVENTO="Manual",$M23=1),0,IF(OFFSET(CRONOPLE!$F$14,$M23,AN$13)="",10^12,OFFSET(CRONOPLE!$F$14,$M23,AN$13))))</f>
        <v>1000000000000</v>
      </c>
      <c r="AO23" s="181">
        <f ca="1">IF($D23&lt;&gt;"Serviço",0,IF(AND(AUTOEVENTO="Manual",$M23=1),0,IF(OFFSET(CRONOPLE!$F$14,$M23,AO$13)="",10^12,OFFSET(CRONOPLE!$F$14,$M23,AO$13))))</f>
        <v>1000000000000</v>
      </c>
      <c r="AP23" s="181">
        <f ca="1">IF($D23&lt;&gt;"Serviço",0,IF(AND(AUTOEVENTO="Manual",$M23=1),0,IF(OFFSET(CRONOPLE!$F$14,$M23,AP$13)="",10^12,OFFSET(CRONOPLE!$F$14,$M23,AP$13))))</f>
        <v>1000000000000</v>
      </c>
      <c r="AQ23" s="181">
        <f ca="1">IF($D23&lt;&gt;"Serviço",0,IF(AND(AUTOEVENTO="Manual",$M23=1),0,IF(OFFSET(CRONOPLE!$F$14,$M23,AQ$13)="",10^12,OFFSET(CRONOPLE!$F$14,$M23,AQ$13))))</f>
        <v>1000000000000</v>
      </c>
      <c r="AR23" s="181">
        <f ca="1">IF($D23&lt;&gt;"Serviço",0,IF(AND(AUTOEVENTO="Manual",$M23=1),0,IF(OFFSET(CRONOPLE!$F$14,$M23,AR$13)="",10^12,OFFSET(CRONOPLE!$F$14,$M23,AR$13))))</f>
        <v>1000000000000</v>
      </c>
      <c r="AS23" s="181">
        <f ca="1">IF($D23&lt;&gt;"Serviço",0,IF(AND(AUTOEVENTO="Manual",$M23=1),0,IF(OFFSET(CRONOPLE!$F$14,$M23,AS$13)="",10^12,OFFSET(CRONOPLE!$F$14,$M23,AS$13))))</f>
        <v>1000000000000</v>
      </c>
      <c r="AT23" s="181">
        <f ca="1">IF($D23&lt;&gt;"Serviço",0,IF(AND(AUTOEVENTO="Manual",$M23=1),0,IF(OFFSET(CRONOPLE!$F$14,$M23,AT$13)="",10^12,OFFSET(CRONOPLE!$F$14,$M23,AT$13))))</f>
        <v>1000000000000</v>
      </c>
      <c r="AU23" s="181">
        <f ca="1">IF($D23&lt;&gt;"Serviço",0,IF(AND(AUTOEVENTO="Manual",$M23=1),0,IF(OFFSET(CRONOPLE!$F$14,$M23,AU$13)="",10^12,OFFSET(CRONOPLE!$F$14,$M23,AU$13))))</f>
        <v>1000000000000</v>
      </c>
      <c r="AV23" s="181">
        <f ca="1">IF($D23&lt;&gt;"Serviço",0,IF(AND(AUTOEVENTO="Manual",$M23=1),0,IF(OFFSET(CRONOPLE!$F$14,$M23,AV$13)="",10^12,OFFSET(CRONOPLE!$F$14,$M23,AV$13))))</f>
        <v>1000000000000</v>
      </c>
      <c r="AX23" s="182">
        <f ca="1">IF($D23&lt;&gt;"Serviço",0,IF(OR(AND(AUTOEVENTO="Manual",$M23=1),$M23&gt;(ROW(PLE.lastrow)-ROW(PLE.firstrow))),0,IF(OFFSET(PLE!$G$14,$M23,AX$13)="",10^12,OFFSET(PLE!$G$14,$M23,AX$13))))</f>
        <v>1000000000000</v>
      </c>
      <c r="AY23" s="182">
        <f ca="1">IF($D23&lt;&gt;"Serviço",0,IF(OR(AND(AUTOEVENTO="Manual",$M23=1),$M23&gt;(ROW(PLE.lastrow)-ROW(PLE.firstrow))),0,IF(OFFSET(PLE!$G$14,$M23,AY$13)="",10^12,OFFSET(PLE!$G$14,$M23,AY$13))))</f>
        <v>1000000000000</v>
      </c>
      <c r="AZ23" s="182">
        <f ca="1">IF($D23&lt;&gt;"Serviço",0,IF(OR(AND(AUTOEVENTO="Manual",$M23=1),$M23&gt;(ROW(PLE.lastrow)-ROW(PLE.firstrow))),0,IF(OFFSET(PLE!$G$14,$M23,AZ$13)="",10^12,OFFSET(PLE!$G$14,$M23,AZ$13))))</f>
        <v>1000000000000</v>
      </c>
      <c r="BA23" s="182">
        <f ca="1">IF($D23&lt;&gt;"Serviço",0,IF(OR(AND(AUTOEVENTO="Manual",$M23=1),$M23&gt;(ROW(PLE.lastrow)-ROW(PLE.firstrow))),0,IF(OFFSET(PLE!$G$14,$M23,BA$13)="",10^12,OFFSET(PLE!$G$14,$M23,BA$13))))</f>
        <v>1000000000000</v>
      </c>
      <c r="BB23" s="182">
        <f ca="1">IF($D23&lt;&gt;"Serviço",0,IF(OR(AND(AUTOEVENTO="Manual",$M23=1),$M23&gt;(ROW(PLE.lastrow)-ROW(PLE.firstrow))),0,IF(OFFSET(PLE!$G$14,$M23,BB$13)="",10^12,OFFSET(PLE!$G$14,$M23,BB$13))))</f>
        <v>1000000000000</v>
      </c>
      <c r="BC23" s="182">
        <f ca="1">IF($D23&lt;&gt;"Serviço",0,IF(OR(AND(AUTOEVENTO="Manual",$M23=1),$M23&gt;(ROW(PLE.lastrow)-ROW(PLE.firstrow))),0,IF(OFFSET(PLE!$G$14,$M23,BC$13)="",10^12,OFFSET(PLE!$G$14,$M23,BC$13))))</f>
        <v>1000000000000</v>
      </c>
      <c r="BD23" s="182">
        <f ca="1">IF($D23&lt;&gt;"Serviço",0,IF(OR(AND(AUTOEVENTO="Manual",$M23=1),$M23&gt;(ROW(PLE.lastrow)-ROW(PLE.firstrow))),0,IF(OFFSET(PLE!$G$14,$M23,BD$13)="",10^12,OFFSET(PLE!$G$14,$M23,BD$13))))</f>
        <v>1000000000000</v>
      </c>
      <c r="BE23" s="182">
        <f ca="1">IF($D23&lt;&gt;"Serviço",0,IF(OR(AND(AUTOEVENTO="Manual",$M23=1),$M23&gt;(ROW(PLE.lastrow)-ROW(PLE.firstrow))),0,IF(OFFSET(PLE!$G$14,$M23,BE$13)="",10^12,OFFSET(PLE!$G$14,$M23,BE$13))))</f>
        <v>1000000000000</v>
      </c>
      <c r="BF23" s="182">
        <f ca="1">IF($D23&lt;&gt;"Serviço",0,IF(OR(AND(AUTOEVENTO="Manual",$M23=1),$M23&gt;(ROW(PLE.lastrow)-ROW(PLE.firstrow))),0,IF(OFFSET(PLE!$G$14,$M23,BF$13)="",10^12,OFFSET(PLE!$G$14,$M23,BF$13))))</f>
        <v>1000000000000</v>
      </c>
      <c r="BG23" s="182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12.75" x14ac:dyDescent="0.2">
      <c r="A24" s="7" t="str">
        <f t="shared" ca="1" si="9"/>
        <v>6</v>
      </c>
      <c r="B24" s="7" t="str">
        <f ca="1">OFFSET(ORÇAMENTO!C$15,ROW(B24)-ROW(B$15),0)</f>
        <v>S</v>
      </c>
      <c r="C24" s="7" t="str">
        <f ca="1">OFFSET(ORÇAMENTO!L$15,ROW(C24)-ROW(C$15),0)</f>
        <v>F</v>
      </c>
      <c r="D24" s="118" t="str">
        <f ca="1">OFFSET(ORÇAMENTO!N$15,ROW(D24)-ROW(D$15),0)</f>
        <v>Serviço</v>
      </c>
      <c r="E24" s="119" t="str">
        <f ca="1">OFFSET(ORÇAMENTO!O$15,ROW(E24)-ROW(E$15),0)</f>
        <v>1.2.3.</v>
      </c>
      <c r="F24" s="172" t="str">
        <f ca="1">OFFSET(ORÇAMENTO!R$15,ROW(F24)-ROW(F$15),0)</f>
        <v>Auxiliar de topografia</v>
      </c>
      <c r="G24" s="173" t="str">
        <f ca="1">IF($D24&lt;&gt;"Serviço","",OFFSET(ORÇAMENTO!S$15,ROW(G24)-ROW(G$15),0))</f>
        <v>h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30</v>
      </c>
      <c r="I24" s="561"/>
      <c r="K24" s="174"/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177" t="str">
        <f ca="1">IF($D24&lt;&gt;"Serviço","",IF(AUTOEVENTO="Manual",IF($A24=0,"&lt;-- defina o número do agrupador",OFFSET(EVENTOS!$D$14,$A24,0)),OFFSET($F$15,$A24,0)))</f>
        <v>ADMINISTRAÇÃO LOCAL</v>
      </c>
      <c r="O24" s="178"/>
      <c r="Q24" s="178"/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 IF(Import.TipoArredondamento&lt;&gt;"TransfereGOV", ROUND(OFFSET($P24,0,AB$13),15-13*ORÇAMENTO!$AF$7)/$H24*OFFSET(ORÇAMENTO!$X$15,ROW(AB24)-ROW(AB$15),0), ROUND(ROUND(OFFSET($P24,0,AB$13),15-13*ORÇAMENTO!$AF$7)*OFFSET(ORÇAMENTO!$W$15,ROW(AB24)-ROW(AB$15),0),15-13*ORÇAMENTO!$AF$11)),0)</f>
        <v>0</v>
      </c>
      <c r="AC24" s="545">
        <f ca="1">IF(AND($D24="Serviço",AC$12&lt;&gt;0,$H24&gt;0,OR(AUTOEVENTO&lt;&gt;"manual",$M24&lt;&gt;1)), IF(Import.TipoArredondamento&lt;&gt;"TransfereGOV", ROUND(OFFSET($P24,0,AC$13),15-13*ORÇAMENTO!$AF$7)/$H24*OFFSET(ORÇAMENTO!$X$15,ROW(AC24)-ROW(AC$15),0), 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 IF(Import.TipoArredondamento&lt;&gt;"TransfereGOV", ROUND(OFFSET($P24,0,AD$13),15-13*ORÇAMENTO!$AF$7)/$H24*OFFSET(ORÇAMENTO!$X$15,ROW(AD24)-ROW(AD$15),0), 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 IF(Import.TipoArredondamento&lt;&gt;"TransfereGOV", ROUND(OFFSET($P24,0,AE$13),15-13*ORÇAMENTO!$AF$7)/$H24*OFFSET(ORÇAMENTO!$X$15,ROW(AE24)-ROW(AE$15),0), 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 IF(Import.TipoArredondamento&lt;&gt;"TransfereGOV", ROUND(OFFSET($P24,0,AF$13),15-13*ORÇAMENTO!$AF$7)/$H24*OFFSET(ORÇAMENTO!$X$15,ROW(AF24)-ROW(AF$15),0), 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 IF(Import.TipoArredondamento&lt;&gt;"TransfereGOV", ROUND(OFFSET($P24,0,AG$13),15-13*ORÇAMENTO!$AF$7)/$H24*OFFSET(ORÇAMENTO!$X$15,ROW(AG24)-ROW(AG$15),0), 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 IF(Import.TipoArredondamento&lt;&gt;"TransfereGOV", ROUND(OFFSET($P24,0,AH$13),15-13*ORÇAMENTO!$AF$7)/$H24*OFFSET(ORÇAMENTO!$X$15,ROW(AH24)-ROW(AH$15),0), 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 IF(Import.TipoArredondamento&lt;&gt;"TransfereGOV", ROUND(OFFSET($P24,0,AI$13),15-13*ORÇAMENTO!$AF$7)/$H24*OFFSET(ORÇAMENTO!$X$15,ROW(AI24)-ROW(AI$15),0), 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 IF(Import.TipoArredondamento&lt;&gt;"TransfereGOV", ROUND(OFFSET($P24,0,AJ$13),15-13*ORÇAMENTO!$AF$7)/$H24*OFFSET(ORÇAMENTO!$X$15,ROW(AJ24)-ROW(AJ$15),0), 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 IF(Import.TipoArredondamento&lt;&gt;"TransfereGOV", ROUND(OFFSET($P24,0,AK$13),15-13*ORÇAMENTO!$AF$7)/$H24*OFFSET(ORÇAMENTO!$X$15,ROW(AK24)-ROW(AK$15),0), 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1000000000000</v>
      </c>
      <c r="AN24" s="181">
        <f ca="1">IF($D24&lt;&gt;"Serviço",0,IF(AND(AUTOEVENTO="Manual",$M24=1),0,IF(OFFSET(CRONOPLE!$F$14,$M24,AN$13)="",10^12,OFFSET(CRONOPLE!$F$14,$M24,AN$13))))</f>
        <v>1000000000000</v>
      </c>
      <c r="AO24" s="181">
        <f ca="1">IF($D24&lt;&gt;"Serviço",0,IF(AND(AUTOEVENTO="Manual",$M24=1),0,IF(OFFSET(CRONOPLE!$F$14,$M24,AO$13)="",10^12,OFFSET(CRONOPLE!$F$14,$M24,AO$13))))</f>
        <v>1000000000000</v>
      </c>
      <c r="AP24" s="181">
        <f ca="1">IF($D24&lt;&gt;"Serviço",0,IF(AND(AUTOEVENTO="Manual",$M24=1),0,IF(OFFSET(CRONOPLE!$F$14,$M24,AP$13)="",10^12,OFFSET(CRONOPLE!$F$14,$M24,AP$13))))</f>
        <v>1000000000000</v>
      </c>
      <c r="AQ24" s="181">
        <f ca="1">IF($D24&lt;&gt;"Serviço",0,IF(AND(AUTOEVENTO="Manual",$M24=1),0,IF(OFFSET(CRONOPLE!$F$14,$M24,AQ$13)="",10^12,OFFSET(CRONOPLE!$F$14,$M24,AQ$13))))</f>
        <v>1000000000000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12.75" x14ac:dyDescent="0.2">
      <c r="A25" s="7" t="str">
        <f t="shared" ca="1" si="9"/>
        <v>10.</v>
      </c>
      <c r="B25" s="7">
        <f ca="1">OFFSET(ORÇAMENTO!C$15,ROW(B25)-ROW(B$15),0)</f>
        <v>2</v>
      </c>
      <c r="C25" s="7" t="str">
        <f ca="1">OFFSET(ORÇAMENTO!L$15,ROW(C25)-ROW(C$15),0)</f>
        <v>F</v>
      </c>
      <c r="D25" s="118" t="str">
        <f ca="1">OFFSET(ORÇAMENTO!N$15,ROW(D25)-ROW(D$15),0)</f>
        <v>Nível 2</v>
      </c>
      <c r="E25" s="119" t="str">
        <f ca="1">OFFSET(ORÇAMENTO!O$15,ROW(E25)-ROW(E$15),0)</f>
        <v>1.3.</v>
      </c>
      <c r="F25" s="172" t="str">
        <f ca="1">OFFSET(ORÇAMENTO!R$15,ROW(F25)-ROW(F$15),0)</f>
        <v>DRENAGEM</v>
      </c>
      <c r="G25" s="173" t="str">
        <f ca="1">IF($D25&lt;&gt;"Serviço","",OFFSET(ORÇAMENTO!S$15,ROW(G25)-ROW(G$15),0))</f>
        <v/>
      </c>
      <c r="H25" s="124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561"/>
      <c r="K25" s="174"/>
      <c r="L25" s="175" t="s">
        <v>255</v>
      </c>
      <c r="M25" s="176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177" t="str">
        <f ca="1">IF($D25&lt;&gt;"Serviço","",IF(AUTOEVENTO="Manual",IF($A25=0,"&lt;-- defina o número do agrupador",OFFSET(EVENTOS!$D$14,$A25,0)),OFFSET($F$15,$A25,0)))</f>
        <v/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 IF(Import.TipoArredondamento&lt;&gt;"TransfereGOV", ROUND(OFFSET($P25,0,AB$13),15-13*ORÇAMENTO!$AF$7)/$H25*OFFSET(ORÇAMENTO!$X$15,ROW(AB25)-ROW(AB$15),0), 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 IF(Import.TipoArredondamento&lt;&gt;"TransfereGOV", ROUND(OFFSET($P25,0,AC$13),15-13*ORÇAMENTO!$AF$7)/$H25*OFFSET(ORÇAMENTO!$X$15,ROW(AC25)-ROW(AC$15),0), 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 IF(Import.TipoArredondamento&lt;&gt;"TransfereGOV", ROUND(OFFSET($P25,0,AD$13),15-13*ORÇAMENTO!$AF$7)/$H25*OFFSET(ORÇAMENTO!$X$15,ROW(AD25)-ROW(AD$15),0), 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 IF(Import.TipoArredondamento&lt;&gt;"TransfereGOV", ROUND(OFFSET($P25,0,AE$13),15-13*ORÇAMENTO!$AF$7)/$H25*OFFSET(ORÇAMENTO!$X$15,ROW(AE25)-ROW(AE$15),0), 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 IF(Import.TipoArredondamento&lt;&gt;"TransfereGOV", ROUND(OFFSET($P25,0,AF$13),15-13*ORÇAMENTO!$AF$7)/$H25*OFFSET(ORÇAMENTO!$X$15,ROW(AF25)-ROW(AF$15),0), 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 IF(Import.TipoArredondamento&lt;&gt;"TransfereGOV", ROUND(OFFSET($P25,0,AG$13),15-13*ORÇAMENTO!$AF$7)/$H25*OFFSET(ORÇAMENTO!$X$15,ROW(AG25)-ROW(AG$15),0), 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 IF(Import.TipoArredondamento&lt;&gt;"TransfereGOV", ROUND(OFFSET($P25,0,AH$13),15-13*ORÇAMENTO!$AF$7)/$H25*OFFSET(ORÇAMENTO!$X$15,ROW(AH25)-ROW(AH$15),0), 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 IF(Import.TipoArredondamento&lt;&gt;"TransfereGOV", ROUND(OFFSET($P25,0,AI$13),15-13*ORÇAMENTO!$AF$7)/$H25*OFFSET(ORÇAMENTO!$X$15,ROW(AI25)-ROW(AI$15),0), 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 IF(Import.TipoArredondamento&lt;&gt;"TransfereGOV", ROUND(OFFSET($P25,0,AJ$13),15-13*ORÇAMENTO!$AF$7)/$H25*OFFSET(ORÇAMENTO!$X$15,ROW(AJ25)-ROW(AJ$15),0), 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 IF(Import.TipoArredondamento&lt;&gt;"TransfereGOV", ROUND(OFFSET($P25,0,AK$13),15-13*ORÇAMENTO!$AF$7)/$H25*OFFSET(ORÇAMENTO!$X$15,ROW(AK25)-ROW(AK$15),0), 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0</v>
      </c>
      <c r="AN25" s="181">
        <f ca="1">IF($D25&lt;&gt;"Serviço",0,IF(AND(AUTOEVENTO="Manual",$M25=1),0,IF(OFFSET(CRONOPLE!$F$14,$M25,AN$13)="",10^12,OFFSET(CRONOPLE!$F$14,$M25,AN$13))))</f>
        <v>0</v>
      </c>
      <c r="AO25" s="181">
        <f ca="1">IF($D25&lt;&gt;"Serviço",0,IF(AND(AUTOEVENTO="Manual",$M25=1),0,IF(OFFSET(CRONOPLE!$F$14,$M25,AO$13)="",10^12,OFFSET(CRONOPLE!$F$14,$M25,AO$13))))</f>
        <v>0</v>
      </c>
      <c r="AP25" s="181">
        <f ca="1">IF($D25&lt;&gt;"Serviço",0,IF(AND(AUTOEVENTO="Manual",$M25=1),0,IF(OFFSET(CRONOPLE!$F$14,$M25,AP$13)="",10^12,OFFSET(CRONOPLE!$F$14,$M25,AP$13))))</f>
        <v>0</v>
      </c>
      <c r="AQ25" s="181">
        <f ca="1">IF($D25&lt;&gt;"Serviço",0,IF(AND(AUTOEVENTO="Manual",$M25=1),0,IF(OFFSET(CRONOPLE!$F$14,$M25,AQ$13)="",10^12,OFFSET(CRONOPLE!$F$14,$M25,AQ$13))))</f>
        <v>0</v>
      </c>
      <c r="AR25" s="181">
        <f ca="1">IF($D25&lt;&gt;"Serviço",0,IF(AND(AUTOEVENTO="Manual",$M25=1),0,IF(OFFSET(CRONOPLE!$F$14,$M25,AR$13)="",10^12,OFFSET(CRONOPLE!$F$14,$M25,AR$13))))</f>
        <v>0</v>
      </c>
      <c r="AS25" s="181">
        <f ca="1">IF($D25&lt;&gt;"Serviço",0,IF(AND(AUTOEVENTO="Manual",$M25=1),0,IF(OFFSET(CRONOPLE!$F$14,$M25,AS$13)="",10^12,OFFSET(CRONOPLE!$F$14,$M25,AS$13))))</f>
        <v>0</v>
      </c>
      <c r="AT25" s="181">
        <f ca="1">IF($D25&lt;&gt;"Serviço",0,IF(AND(AUTOEVENTO="Manual",$M25=1),0,IF(OFFSET(CRONOPLE!$F$14,$M25,AT$13)="",10^12,OFFSET(CRONOPLE!$F$14,$M25,AT$13))))</f>
        <v>0</v>
      </c>
      <c r="AU25" s="181">
        <f ca="1">IF($D25&lt;&gt;"Serviço",0,IF(AND(AUTOEVENTO="Manual",$M25=1),0,IF(OFFSET(CRONOPLE!$F$14,$M25,AU$13)="",10^12,OFFSET(CRONOPLE!$F$14,$M25,AU$13))))</f>
        <v>0</v>
      </c>
      <c r="AV25" s="181">
        <f ca="1">IF($D25&lt;&gt;"Serviço",0,IF(AND(AUTOEVENTO="Manual",$M25=1),0,IF(OFFSET(CRONOPLE!$F$14,$M25,AV$13)="",10^12,OFFSET(CRONOPLE!$F$14,$M25,AV$13))))</f>
        <v>0</v>
      </c>
      <c r="AX25" s="182">
        <f ca="1">IF($D25&lt;&gt;"Serviço",0,IF(OR(AND(AUTOEVENTO="Manual",$M25=1),$M25&gt;(ROW(PLE.lastrow)-ROW(PLE.firstrow))),0,IF(OFFSET(PLE!$G$14,$M25,AX$13)="",10^12,OFFSET(PLE!$G$14,$M25,AX$13))))</f>
        <v>0</v>
      </c>
      <c r="AY25" s="182">
        <f ca="1">IF($D25&lt;&gt;"Serviço",0,IF(OR(AND(AUTOEVENTO="Manual",$M25=1),$M25&gt;(ROW(PLE.lastrow)-ROW(PLE.firstrow))),0,IF(OFFSET(PLE!$G$14,$M25,AY$13)="",10^12,OFFSET(PLE!$G$14,$M25,AY$13))))</f>
        <v>0</v>
      </c>
      <c r="AZ25" s="182">
        <f ca="1">IF($D25&lt;&gt;"Serviço",0,IF(OR(AND(AUTOEVENTO="Manual",$M25=1),$M25&gt;(ROW(PLE.lastrow)-ROW(PLE.firstrow))),0,IF(OFFSET(PLE!$G$14,$M25,AZ$13)="",10^12,OFFSET(PLE!$G$14,$M25,AZ$13))))</f>
        <v>0</v>
      </c>
      <c r="BA25" s="182">
        <f ca="1">IF($D25&lt;&gt;"Serviço",0,IF(OR(AND(AUTOEVENTO="Manual",$M25=1),$M25&gt;(ROW(PLE.lastrow)-ROW(PLE.firstrow))),0,IF(OFFSET(PLE!$G$14,$M25,BA$13)="",10^12,OFFSET(PLE!$G$14,$M25,BA$13))))</f>
        <v>0</v>
      </c>
      <c r="BB25" s="182">
        <f ca="1">IF($D25&lt;&gt;"Serviço",0,IF(OR(AND(AUTOEVENTO="Manual",$M25=1),$M25&gt;(ROW(PLE.lastrow)-ROW(PLE.firstrow))),0,IF(OFFSET(PLE!$G$14,$M25,BB$13)="",10^12,OFFSET(PLE!$G$14,$M25,BB$13))))</f>
        <v>0</v>
      </c>
      <c r="BC25" s="182">
        <f ca="1">IF($D25&lt;&gt;"Serviço",0,IF(OR(AND(AUTOEVENTO="Manual",$M25=1),$M25&gt;(ROW(PLE.lastrow)-ROW(PLE.firstrow))),0,IF(OFFSET(PLE!$G$14,$M25,BC$13)="",10^12,OFFSET(PLE!$G$14,$M25,BC$13))))</f>
        <v>0</v>
      </c>
      <c r="BD25" s="182">
        <f ca="1">IF($D25&lt;&gt;"Serviço",0,IF(OR(AND(AUTOEVENTO="Manual",$M25=1),$M25&gt;(ROW(PLE.lastrow)-ROW(PLE.firstrow))),0,IF(OFFSET(PLE!$G$14,$M25,BD$13)="",10^12,OFFSET(PLE!$G$14,$M25,BD$13))))</f>
        <v>0</v>
      </c>
      <c r="BE25" s="182">
        <f ca="1">IF($D25&lt;&gt;"Serviço",0,IF(OR(AND(AUTOEVENTO="Manual",$M25=1),$M25&gt;(ROW(PLE.lastrow)-ROW(PLE.firstrow))),0,IF(OFFSET(PLE!$G$14,$M25,BE$13)="",10^12,OFFSET(PLE!$G$14,$M25,BE$13))))</f>
        <v>0</v>
      </c>
      <c r="BF25" s="182">
        <f ca="1">IF($D25&lt;&gt;"Serviço",0,IF(OR(AND(AUTOEVENTO="Manual",$M25=1),$M25&gt;(ROW(PLE.lastrow)-ROW(PLE.firstrow))),0,IF(OFFSET(PLE!$G$14,$M25,BF$13)="",10^12,OFFSET(PLE!$G$14,$M25,BF$13))))</f>
        <v>0</v>
      </c>
      <c r="BG25" s="182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38.25" x14ac:dyDescent="0.2">
      <c r="A26" s="7" t="str">
        <f t="shared" ca="1" si="8"/>
        <v>10</v>
      </c>
      <c r="B26" s="7" t="str">
        <f ca="1">OFFSET(ORÇAMENTO!C$15,ROW(B26)-ROW(B$15),0)</f>
        <v>S</v>
      </c>
      <c r="C26" s="7" t="str">
        <f ca="1">OFFSET(ORÇAMENTO!L$15,ROW(C26)-ROW(C$15),0)</f>
        <v>F</v>
      </c>
      <c r="D26" s="118" t="str">
        <f ca="1">OFFSET(ORÇAMENTO!N$15,ROW(D26)-ROW(D$15),0)</f>
        <v>Serviço</v>
      </c>
      <c r="E26" s="119" t="str">
        <f ca="1">OFFSET(ORÇAMENTO!O$15,ROW(E26)-ROW(E$15),0)</f>
        <v>1.3.1.</v>
      </c>
      <c r="F26" s="172" t="str">
        <f ca="1">OFFSET(ORÇAMENTO!R$15,ROW(F26)-ROW(F$15),0)</f>
        <v>Escavação, carga e transporte de material de 1ª categoria - DMT de 1.000 a 1.200 m - caminho de serviço pavimentado - com escavadeira e caminhão basculante de 14 m³</v>
      </c>
      <c r="G26" s="173" t="str">
        <f ca="1">IF($D26&lt;&gt;"Serviço","",OFFSET(ORÇAMENTO!S$15,ROW(G26)-ROW(G$15),0))</f>
        <v>m³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141.80000000000001</v>
      </c>
      <c r="I26" s="561"/>
      <c r="K26" s="174"/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177" t="str">
        <f ca="1">IF($D26&lt;&gt;"Serviço","",IF(AUTOEVENTO="Manual",IF($A26=0,"&lt;-- defina o número do agrupador",OFFSET(EVENTOS!$D$14,$A26,0)),OFFSET($F$15,$A26,0)))</f>
        <v>DRENAGEM</v>
      </c>
      <c r="O26" s="178"/>
      <c r="Q26" s="178"/>
      <c r="R26" s="179"/>
      <c r="S26" s="179"/>
      <c r="T26" s="179"/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 IF(Import.TipoArredondamento&lt;&gt;"TransfereGOV", ROUND(OFFSET($P26,0,AB$13),15-13*ORÇAMENTO!$AF$7)/$H26*OFFSET(ORÇAMENTO!$X$15,ROW(AB26)-ROW(AB$15),0), ROUND(ROUND(OFFSET($P26,0,AB$13),15-13*ORÇAMENTO!$AF$7)*OFFSET(ORÇAMENTO!$W$15,ROW(AB26)-ROW(AB$15),0),15-13*ORÇAMENTO!$AF$11)),0)</f>
        <v>0</v>
      </c>
      <c r="AC26" s="545">
        <f ca="1">IF(AND($D26="Serviço",AC$12&lt;&gt;0,$H26&gt;0,OR(AUTOEVENTO&lt;&gt;"manual",$M26&lt;&gt;1)), IF(Import.TipoArredondamento&lt;&gt;"TransfereGOV", ROUND(OFFSET($P26,0,AC$13),15-13*ORÇAMENTO!$AF$7)/$H26*OFFSET(ORÇAMENTO!$X$15,ROW(AC26)-ROW(AC$15),0), ROUND(ROUND(OFFSET($P26,0,AC$13),15-13*ORÇAMENTO!$AF$7)*OFFSET(ORÇAMENTO!$W$15,ROW(AC26)-ROW(AC$15),0),15-13*ORÇAMENTO!$AF$11)),0)</f>
        <v>0</v>
      </c>
      <c r="AD26" s="545">
        <f ca="1">IF(AND($D26="Serviço",AD$12&lt;&gt;0,$H26&gt;0,OR(AUTOEVENTO&lt;&gt;"manual",$M26&lt;&gt;1)), IF(Import.TipoArredondamento&lt;&gt;"TransfereGOV", ROUND(OFFSET($P26,0,AD$13),15-13*ORÇAMENTO!$AF$7)/$H26*OFFSET(ORÇAMENTO!$X$15,ROW(AD26)-ROW(AD$15),0), 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 IF(Import.TipoArredondamento&lt;&gt;"TransfereGOV", ROUND(OFFSET($P26,0,AE$13),15-13*ORÇAMENTO!$AF$7)/$H26*OFFSET(ORÇAMENTO!$X$15,ROW(AE26)-ROW(AE$15),0), ROUND(ROUND(OFFSET($P26,0,AE$13),15-13*ORÇAMENTO!$AF$7)*OFFSET(ORÇAMENTO!$W$15,ROW(AE26)-ROW(AE$15),0),15-13*ORÇAMENTO!$AF$11)),0)</f>
        <v>0</v>
      </c>
      <c r="AF26" s="545">
        <f ca="1">IF(AND($D26="Serviço",AF$12&lt;&gt;0,$H26&gt;0,OR(AUTOEVENTO&lt;&gt;"manual",$M26&lt;&gt;1)), IF(Import.TipoArredondamento&lt;&gt;"TransfereGOV", ROUND(OFFSET($P26,0,AF$13),15-13*ORÇAMENTO!$AF$7)/$H26*OFFSET(ORÇAMENTO!$X$15,ROW(AF26)-ROW(AF$15),0), 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 IF(Import.TipoArredondamento&lt;&gt;"TransfereGOV", ROUND(OFFSET($P26,0,AG$13),15-13*ORÇAMENTO!$AF$7)/$H26*OFFSET(ORÇAMENTO!$X$15,ROW(AG26)-ROW(AG$15),0), 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 IF(Import.TipoArredondamento&lt;&gt;"TransfereGOV", ROUND(OFFSET($P26,0,AH$13),15-13*ORÇAMENTO!$AF$7)/$H26*OFFSET(ORÇAMENTO!$X$15,ROW(AH26)-ROW(AH$15),0), 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 IF(Import.TipoArredondamento&lt;&gt;"TransfereGOV", ROUND(OFFSET($P26,0,AI$13),15-13*ORÇAMENTO!$AF$7)/$H26*OFFSET(ORÇAMENTO!$X$15,ROW(AI26)-ROW(AI$15),0), 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 IF(Import.TipoArredondamento&lt;&gt;"TransfereGOV", ROUND(OFFSET($P26,0,AJ$13),15-13*ORÇAMENTO!$AF$7)/$H26*OFFSET(ORÇAMENTO!$X$15,ROW(AJ26)-ROW(AJ$15),0), 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 IF(Import.TipoArredondamento&lt;&gt;"TransfereGOV", ROUND(OFFSET($P26,0,AK$13),15-13*ORÇAMENTO!$AF$7)/$H26*OFFSET(ORÇAMENTO!$X$15,ROW(AK26)-ROW(AK$15),0), 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1000000000000</v>
      </c>
      <c r="AN26" s="181">
        <f ca="1">IF($D26&lt;&gt;"Serviço",0,IF(AND(AUTOEVENTO="Manual",$M26=1),0,IF(OFFSET(CRONOPLE!$F$14,$M26,AN$13)="",10^12,OFFSET(CRONOPLE!$F$14,$M26,AN$13))))</f>
        <v>1000000000000</v>
      </c>
      <c r="AO26" s="181">
        <f ca="1">IF($D26&lt;&gt;"Serviço",0,IF(AND(AUTOEVENTO="Manual",$M26=1),0,IF(OFFSET(CRONOPLE!$F$14,$M26,AO$13)="",10^12,OFFSET(CRONOPLE!$F$14,$M26,AO$13))))</f>
        <v>1000000000000</v>
      </c>
      <c r="AP26" s="181">
        <f ca="1">IF($D26&lt;&gt;"Serviço",0,IF(AND(AUTOEVENTO="Manual",$M26=1),0,IF(OFFSET(CRONOPLE!$F$14,$M26,AP$13)="",10^12,OFFSET(CRONOPLE!$F$14,$M26,AP$13))))</f>
        <v>1000000000000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25.5" x14ac:dyDescent="0.2">
      <c r="A27" s="7" t="str">
        <f t="shared" ca="1" si="8"/>
        <v>10</v>
      </c>
      <c r="B27" s="7" t="str">
        <f ca="1">OFFSET(ORÇAMENTO!C$15,ROW(B27)-ROW(B$15),0)</f>
        <v>S</v>
      </c>
      <c r="C27" s="7" t="str">
        <f ca="1">OFFSET(ORÇAMENTO!L$15,ROW(C27)-ROW(C$15),0)</f>
        <v>F</v>
      </c>
      <c r="D27" s="118" t="str">
        <f ca="1">OFFSET(ORÇAMENTO!N$15,ROW(D27)-ROW(D$15),0)</f>
        <v>Serviço</v>
      </c>
      <c r="E27" s="119" t="str">
        <f ca="1">OFFSET(ORÇAMENTO!O$15,ROW(E27)-ROW(E$15),0)</f>
        <v>1.3.2.</v>
      </c>
      <c r="F27" s="172" t="str">
        <f ca="1">OFFSET(ORÇAMENTO!R$15,ROW(F27)-ROW(F$15),0)</f>
        <v>TUBO DE CONCRETO PA2 COMERCIAL PARA DRENAGEM - D=0,40 m (fornecimento e instalação)</v>
      </c>
      <c r="G27" s="173" t="str">
        <f ca="1">IF($D27&lt;&gt;"Serviço","",OFFSET(ORÇAMENTO!S$15,ROW(G27)-ROW(G$15),0))</f>
        <v>M</v>
      </c>
      <c r="H27" s="124">
        <f ca="1">IF($D27&lt;&gt;"Serviço",0,IF(ACOMPANHAMENTO="BM",ROUND(OFFSET(ORÇAMENTO!AJ$15,ROW(H27)-ROW(H$15),0),15-13*ORÇAMENTO!$AF$7),SUMPRODUCT(($Q$12:$AA$12&lt;&gt;"")*ROUND($Q27:$AA27,15-13*ORÇAMENTO!$AF$7))))</f>
        <v>131</v>
      </c>
      <c r="I27" s="561"/>
      <c r="K27" s="174"/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177" t="str">
        <f ca="1">IF($D27&lt;&gt;"Serviço","",IF(AUTOEVENTO="Manual",IF($A27=0,"&lt;-- defina o número do agrupador",OFFSET(EVENTOS!$D$14,$A27,0)),OFFSET($F$15,$A27,0)))</f>
        <v>DRENAGEM</v>
      </c>
      <c r="O27" s="178"/>
      <c r="Q27" s="178"/>
      <c r="R27" s="179"/>
      <c r="S27" s="179"/>
      <c r="T27" s="179"/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 IF(Import.TipoArredondamento&lt;&gt;"TransfereGOV", ROUND(OFFSET($P27,0,AB$13),15-13*ORÇAMENTO!$AF$7)/$H27*OFFSET(ORÇAMENTO!$X$15,ROW(AB27)-ROW(AB$15),0), ROUND(ROUND(OFFSET($P27,0,AB$13),15-13*ORÇAMENTO!$AF$7)*OFFSET(ORÇAMENTO!$W$15,ROW(AB27)-ROW(AB$15),0),15-13*ORÇAMENTO!$AF$11)),0)</f>
        <v>0</v>
      </c>
      <c r="AC27" s="545">
        <f ca="1">IF(AND($D27="Serviço",AC$12&lt;&gt;0,$H27&gt;0,OR(AUTOEVENTO&lt;&gt;"manual",$M27&lt;&gt;1)), IF(Import.TipoArredondamento&lt;&gt;"TransfereGOV", ROUND(OFFSET($P27,0,AC$13),15-13*ORÇAMENTO!$AF$7)/$H27*OFFSET(ORÇAMENTO!$X$15,ROW(AC27)-ROW(AC$15),0), ROUND(ROUND(OFFSET($P27,0,AC$13),15-13*ORÇAMENTO!$AF$7)*OFFSET(ORÇAMENTO!$W$15,ROW(AC27)-ROW(AC$15),0),15-13*ORÇAMENTO!$AF$11)),0)</f>
        <v>0</v>
      </c>
      <c r="AD27" s="545">
        <f ca="1">IF(AND($D27="Serviço",AD$12&lt;&gt;0,$H27&gt;0,OR(AUTOEVENTO&lt;&gt;"manual",$M27&lt;&gt;1)), IF(Import.TipoArredondamento&lt;&gt;"TransfereGOV", ROUND(OFFSET($P27,0,AD$13),15-13*ORÇAMENTO!$AF$7)/$H27*OFFSET(ORÇAMENTO!$X$15,ROW(AD27)-ROW(AD$15),0), 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 IF(Import.TipoArredondamento&lt;&gt;"TransfereGOV", ROUND(OFFSET($P27,0,AE$13),15-13*ORÇAMENTO!$AF$7)/$H27*OFFSET(ORÇAMENTO!$X$15,ROW(AE27)-ROW(AE$15),0), ROUND(ROUND(OFFSET($P27,0,AE$13),15-13*ORÇAMENTO!$AF$7)*OFFSET(ORÇAMENTO!$W$15,ROW(AE27)-ROW(AE$15),0),15-13*ORÇAMENTO!$AF$11)),0)</f>
        <v>0</v>
      </c>
      <c r="AF27" s="545">
        <f ca="1">IF(AND($D27="Serviço",AF$12&lt;&gt;0,$H27&gt;0,OR(AUTOEVENTO&lt;&gt;"manual",$M27&lt;&gt;1)), IF(Import.TipoArredondamento&lt;&gt;"TransfereGOV", ROUND(OFFSET($P27,0,AF$13),15-13*ORÇAMENTO!$AF$7)/$H27*OFFSET(ORÇAMENTO!$X$15,ROW(AF27)-ROW(AF$15),0), 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 IF(Import.TipoArredondamento&lt;&gt;"TransfereGOV", ROUND(OFFSET($P27,0,AG$13),15-13*ORÇAMENTO!$AF$7)/$H27*OFFSET(ORÇAMENTO!$X$15,ROW(AG27)-ROW(AG$15),0), 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 IF(Import.TipoArredondamento&lt;&gt;"TransfereGOV", ROUND(OFFSET($P27,0,AH$13),15-13*ORÇAMENTO!$AF$7)/$H27*OFFSET(ORÇAMENTO!$X$15,ROW(AH27)-ROW(AH$15),0), 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 IF(Import.TipoArredondamento&lt;&gt;"TransfereGOV", ROUND(OFFSET($P27,0,AI$13),15-13*ORÇAMENTO!$AF$7)/$H27*OFFSET(ORÇAMENTO!$X$15,ROW(AI27)-ROW(AI$15),0), 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 IF(Import.TipoArredondamento&lt;&gt;"TransfereGOV", ROUND(OFFSET($P27,0,AJ$13),15-13*ORÇAMENTO!$AF$7)/$H27*OFFSET(ORÇAMENTO!$X$15,ROW(AJ27)-ROW(AJ$15),0), 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 IF(Import.TipoArredondamento&lt;&gt;"TransfereGOV", ROUND(OFFSET($P27,0,AK$13),15-13*ORÇAMENTO!$AF$7)/$H27*OFFSET(ORÇAMENTO!$X$15,ROW(AK27)-ROW(AK$15),0), 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1000000000000</v>
      </c>
      <c r="AN27" s="181">
        <f ca="1">IF($D27&lt;&gt;"Serviço",0,IF(AND(AUTOEVENTO="Manual",$M27=1),0,IF(OFFSET(CRONOPLE!$F$14,$M27,AN$13)="",10^12,OFFSET(CRONOPLE!$F$14,$M27,AN$13))))</f>
        <v>1000000000000</v>
      </c>
      <c r="AO27" s="181">
        <f ca="1">IF($D27&lt;&gt;"Serviço",0,IF(AND(AUTOEVENTO="Manual",$M27=1),0,IF(OFFSET(CRONOPLE!$F$14,$M27,AO$13)="",10^12,OFFSET(CRONOPLE!$F$14,$M27,AO$13))))</f>
        <v>1000000000000</v>
      </c>
      <c r="AP27" s="181">
        <f ca="1">IF($D27&lt;&gt;"Serviço",0,IF(AND(AUTOEVENTO="Manual",$M27=1),0,IF(OFFSET(CRONOPLE!$F$14,$M27,AP$13)="",10^12,OFFSET(CRONOPLE!$F$14,$M27,AP$13))))</f>
        <v>1000000000000</v>
      </c>
      <c r="AQ27" s="181">
        <f ca="1">IF($D27&lt;&gt;"Serviço",0,IF(AND(AUTOEVENTO="Manual",$M27=1),0,IF(OFFSET(CRONOPLE!$F$14,$M27,AQ$13)="",10^12,OFFSET(CRONOPLE!$F$14,$M27,AQ$13))))</f>
        <v>1000000000000</v>
      </c>
      <c r="AR27" s="181">
        <f ca="1">IF($D27&lt;&gt;"Serviço",0,IF(AND(AUTOEVENTO="Manual",$M27=1),0,IF(OFFSET(CRONOPLE!$F$14,$M27,AR$13)="",10^12,OFFSET(CRONOPLE!$F$14,$M27,AR$13))))</f>
        <v>1000000000000</v>
      </c>
      <c r="AS27" s="181">
        <f ca="1">IF($D27&lt;&gt;"Serviço",0,IF(AND(AUTOEVENTO="Manual",$M27=1),0,IF(OFFSET(CRONOPLE!$F$14,$M27,AS$13)="",10^12,OFFSET(CRONOPLE!$F$14,$M27,AS$13))))</f>
        <v>1000000000000</v>
      </c>
      <c r="AT27" s="181">
        <f ca="1">IF($D27&lt;&gt;"Serviço",0,IF(AND(AUTOEVENTO="Manual",$M27=1),0,IF(OFFSET(CRONOPLE!$F$14,$M27,AT$13)="",10^12,OFFSET(CRONOPLE!$F$14,$M27,AT$13))))</f>
        <v>1000000000000</v>
      </c>
      <c r="AU27" s="181">
        <f ca="1">IF($D27&lt;&gt;"Serviço",0,IF(AND(AUTOEVENTO="Manual",$M27=1),0,IF(OFFSET(CRONOPLE!$F$14,$M27,AU$13)="",10^12,OFFSET(CRONOPLE!$F$14,$M27,AU$13))))</f>
        <v>1000000000000</v>
      </c>
      <c r="AV27" s="181">
        <f ca="1">IF($D27&lt;&gt;"Serviço",0,IF(AND(AUTOEVENTO="Manual",$M27=1),0,IF(OFFSET(CRONOPLE!$F$14,$M27,AV$13)="",10^12,OFFSET(CRONOPLE!$F$14,$M27,AV$13))))</f>
        <v>1000000000000</v>
      </c>
      <c r="AX27" s="182">
        <f ca="1">IF($D27&lt;&gt;"Serviço",0,IF(OR(AND(AUTOEVENTO="Manual",$M27=1),$M27&gt;(ROW(PLE.lastrow)-ROW(PLE.firstrow))),0,IF(OFFSET(PLE!$G$14,$M27,AX$13)="",10^12,OFFSET(PLE!$G$14,$M27,AX$13))))</f>
        <v>1000000000000</v>
      </c>
      <c r="AY27" s="182">
        <f ca="1">IF($D27&lt;&gt;"Serviço",0,IF(OR(AND(AUTOEVENTO="Manual",$M27=1),$M27&gt;(ROW(PLE.lastrow)-ROW(PLE.firstrow))),0,IF(OFFSET(PLE!$G$14,$M27,AY$13)="",10^12,OFFSET(PLE!$G$14,$M27,AY$13))))</f>
        <v>1000000000000</v>
      </c>
      <c r="AZ27" s="182">
        <f ca="1">IF($D27&lt;&gt;"Serviço",0,IF(OR(AND(AUTOEVENTO="Manual",$M27=1),$M27&gt;(ROW(PLE.lastrow)-ROW(PLE.firstrow))),0,IF(OFFSET(PLE!$G$14,$M27,AZ$13)="",10^12,OFFSET(PLE!$G$14,$M27,AZ$13))))</f>
        <v>1000000000000</v>
      </c>
      <c r="BA27" s="182">
        <f ca="1">IF($D27&lt;&gt;"Serviço",0,IF(OR(AND(AUTOEVENTO="Manual",$M27=1),$M27&gt;(ROW(PLE.lastrow)-ROW(PLE.firstrow))),0,IF(OFFSET(PLE!$G$14,$M27,BA$13)="",10^12,OFFSET(PLE!$G$14,$M27,BA$13))))</f>
        <v>1000000000000</v>
      </c>
      <c r="BB27" s="182">
        <f ca="1">IF($D27&lt;&gt;"Serviço",0,IF(OR(AND(AUTOEVENTO="Manual",$M27=1),$M27&gt;(ROW(PLE.lastrow)-ROW(PLE.firstrow))),0,IF(OFFSET(PLE!$G$14,$M27,BB$13)="",10^12,OFFSET(PLE!$G$14,$M27,BB$13))))</f>
        <v>1000000000000</v>
      </c>
      <c r="BC27" s="182">
        <f ca="1">IF($D27&lt;&gt;"Serviço",0,IF(OR(AND(AUTOEVENTO="Manual",$M27=1),$M27&gt;(ROW(PLE.lastrow)-ROW(PLE.firstrow))),0,IF(OFFSET(PLE!$G$14,$M27,BC$13)="",10^12,OFFSET(PLE!$G$14,$M27,BC$13))))</f>
        <v>1000000000000</v>
      </c>
      <c r="BD27" s="182">
        <f ca="1">IF($D27&lt;&gt;"Serviço",0,IF(OR(AND(AUTOEVENTO="Manual",$M27=1),$M27&gt;(ROW(PLE.lastrow)-ROW(PLE.firstrow))),0,IF(OFFSET(PLE!$G$14,$M27,BD$13)="",10^12,OFFSET(PLE!$G$14,$M27,BD$13))))</f>
        <v>1000000000000</v>
      </c>
      <c r="BE27" s="182">
        <f ca="1">IF($D27&lt;&gt;"Serviço",0,IF(OR(AND(AUTOEVENTO="Manual",$M27=1),$M27&gt;(ROW(PLE.lastrow)-ROW(PLE.firstrow))),0,IF(OFFSET(PLE!$G$14,$M27,BE$13)="",10^12,OFFSET(PLE!$G$14,$M27,BE$13))))</f>
        <v>1000000000000</v>
      </c>
      <c r="BF27" s="182">
        <f ca="1">IF($D27&lt;&gt;"Serviço",0,IF(OR(AND(AUTOEVENTO="Manual",$M27=1),$M27&gt;(ROW(PLE.lastrow)-ROW(PLE.firstrow))),0,IF(OFFSET(PLE!$G$14,$M27,BF$13)="",10^12,OFFSET(PLE!$G$14,$M27,BF$13))))</f>
        <v>1000000000000</v>
      </c>
      <c r="BG27" s="18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12.75" x14ac:dyDescent="0.2">
      <c r="A28" s="7" t="str">
        <f t="shared" ca="1" si="8"/>
        <v>10</v>
      </c>
      <c r="B28" s="7" t="str">
        <f ca="1">OFFSET(ORÇAMENTO!C$15,ROW(B28)-ROW(B$15),0)</f>
        <v>S</v>
      </c>
      <c r="C28" s="7" t="str">
        <f ca="1">OFFSET(ORÇAMENTO!L$15,ROW(C28)-ROW(C$15),0)</f>
        <v>F</v>
      </c>
      <c r="D28" s="118" t="str">
        <f ca="1">OFFSET(ORÇAMENTO!N$15,ROW(D28)-ROW(D$15),0)</f>
        <v>Serviço</v>
      </c>
      <c r="E28" s="119" t="str">
        <f ca="1">OFFSET(ORÇAMENTO!O$15,ROW(E28)-ROW(E$15),0)</f>
        <v>1.3.3.</v>
      </c>
      <c r="F28" s="172" t="str">
        <f ca="1">OFFSET(ORÇAMENTO!R$15,ROW(F28)-ROW(F$15),0)</f>
        <v>Reaterro e compactação com soquete vibratório</v>
      </c>
      <c r="G28" s="173" t="str">
        <f ca="1">IF($D28&lt;&gt;"Serviço","",OFFSET(ORÇAMENTO!S$15,ROW(G28)-ROW(G$15),0))</f>
        <v>m³</v>
      </c>
      <c r="H28" s="124">
        <f ca="1">IF($D28&lt;&gt;"Serviço",0,IF(ACOMPANHAMENTO="BM",ROUND(OFFSET(ORÇAMENTO!AJ$15,ROW(H28)-ROW(H$15),0),15-13*ORÇAMENTO!$AF$7),SUMPRODUCT(($Q$12:$AA$12&lt;&gt;"")*ROUND($Q28:$AA28,15-13*ORÇAMENTO!$AF$7))))</f>
        <v>108.73</v>
      </c>
      <c r="I28" s="561"/>
      <c r="K28" s="174"/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177" t="str">
        <f ca="1">IF($D28&lt;&gt;"Serviço","",IF(AUTOEVENTO="Manual",IF($A28=0,"&lt;-- defina o número do agrupador",OFFSET(EVENTOS!$D$14,$A28,0)),OFFSET($F$15,$A28,0)))</f>
        <v>DRENAGEM</v>
      </c>
      <c r="O28" s="178"/>
      <c r="Q28" s="178"/>
      <c r="R28" s="179"/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 IF(Import.TipoArredondamento&lt;&gt;"TransfereGOV", ROUND(OFFSET($P28,0,AB$13),15-13*ORÇAMENTO!$AF$7)/$H28*OFFSET(ORÇAMENTO!$X$15,ROW(AB28)-ROW(AB$15),0), 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 IF(Import.TipoArredondamento&lt;&gt;"TransfereGOV", ROUND(OFFSET($P28,0,AC$13),15-13*ORÇAMENTO!$AF$7)/$H28*OFFSET(ORÇAMENTO!$X$15,ROW(AC28)-ROW(AC$15),0), ROUND(ROUND(OFFSET($P28,0,AC$13),15-13*ORÇAMENTO!$AF$7)*OFFSET(ORÇAMENTO!$W$15,ROW(AC28)-ROW(AC$15),0),15-13*ORÇAMENTO!$AF$11)),0)</f>
        <v>0</v>
      </c>
      <c r="AD28" s="545">
        <f ca="1">IF(AND($D28="Serviço",AD$12&lt;&gt;0,$H28&gt;0,OR(AUTOEVENTO&lt;&gt;"manual",$M28&lt;&gt;1)), IF(Import.TipoArredondamento&lt;&gt;"TransfereGOV", ROUND(OFFSET($P28,0,AD$13),15-13*ORÇAMENTO!$AF$7)/$H28*OFFSET(ORÇAMENTO!$X$15,ROW(AD28)-ROW(AD$15),0), 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 IF(Import.TipoArredondamento&lt;&gt;"TransfereGOV", ROUND(OFFSET($P28,0,AE$13),15-13*ORÇAMENTO!$AF$7)/$H28*OFFSET(ORÇAMENTO!$X$15,ROW(AE28)-ROW(AE$15),0), 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 IF(Import.TipoArredondamento&lt;&gt;"TransfereGOV", ROUND(OFFSET($P28,0,AF$13),15-13*ORÇAMENTO!$AF$7)/$H28*OFFSET(ORÇAMENTO!$X$15,ROW(AF28)-ROW(AF$15),0), 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 IF(Import.TipoArredondamento&lt;&gt;"TransfereGOV", ROUND(OFFSET($P28,0,AG$13),15-13*ORÇAMENTO!$AF$7)/$H28*OFFSET(ORÇAMENTO!$X$15,ROW(AG28)-ROW(AG$15),0), 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 IF(Import.TipoArredondamento&lt;&gt;"TransfereGOV", ROUND(OFFSET($P28,0,AH$13),15-13*ORÇAMENTO!$AF$7)/$H28*OFFSET(ORÇAMENTO!$X$15,ROW(AH28)-ROW(AH$15),0), 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 IF(Import.TipoArredondamento&lt;&gt;"TransfereGOV", ROUND(OFFSET($P28,0,AI$13),15-13*ORÇAMENTO!$AF$7)/$H28*OFFSET(ORÇAMENTO!$X$15,ROW(AI28)-ROW(AI$15),0), 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 IF(Import.TipoArredondamento&lt;&gt;"TransfereGOV", ROUND(OFFSET($P28,0,AJ$13),15-13*ORÇAMENTO!$AF$7)/$H28*OFFSET(ORÇAMENTO!$X$15,ROW(AJ28)-ROW(AJ$15),0), 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 IF(Import.TipoArredondamento&lt;&gt;"TransfereGOV", ROUND(OFFSET($P28,0,AK$13),15-13*ORÇAMENTO!$AF$7)/$H28*OFFSET(ORÇAMENTO!$X$15,ROW(AK28)-ROW(AK$15),0), 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1000000000000</v>
      </c>
      <c r="AN28" s="181">
        <f ca="1">IF($D28&lt;&gt;"Serviço",0,IF(AND(AUTOEVENTO="Manual",$M28=1),0,IF(OFFSET(CRONOPLE!$F$14,$M28,AN$13)="",10^12,OFFSET(CRONOPLE!$F$14,$M28,AN$13))))</f>
        <v>1000000000000</v>
      </c>
      <c r="AO28" s="181">
        <f ca="1">IF($D28&lt;&gt;"Serviço",0,IF(AND(AUTOEVENTO="Manual",$M28=1),0,IF(OFFSET(CRONOPLE!$F$14,$M28,AO$13)="",10^12,OFFSET(CRONOPLE!$F$14,$M28,AO$13))))</f>
        <v>1000000000000</v>
      </c>
      <c r="AP28" s="181">
        <f ca="1">IF($D28&lt;&gt;"Serviço",0,IF(AND(AUTOEVENTO="Manual",$M28=1),0,IF(OFFSET(CRONOPLE!$F$14,$M28,AP$13)="",10^12,OFFSET(CRONOPLE!$F$14,$M28,AP$13))))</f>
        <v>1000000000000</v>
      </c>
      <c r="AQ28" s="181">
        <f ca="1">IF($D28&lt;&gt;"Serviço",0,IF(AND(AUTOEVENTO="Manual",$M28=1),0,IF(OFFSET(CRONOPLE!$F$14,$M28,AQ$13)="",10^12,OFFSET(CRONOPLE!$F$14,$M28,AQ$13))))</f>
        <v>1000000000000</v>
      </c>
      <c r="AR28" s="181">
        <f ca="1">IF($D28&lt;&gt;"Serviço",0,IF(AND(AUTOEVENTO="Manual",$M28=1),0,IF(OFFSET(CRONOPLE!$F$14,$M28,AR$13)="",10^12,OFFSET(CRONOPLE!$F$14,$M28,AR$13))))</f>
        <v>1000000000000</v>
      </c>
      <c r="AS28" s="181">
        <f ca="1">IF($D28&lt;&gt;"Serviço",0,IF(AND(AUTOEVENTO="Manual",$M28=1),0,IF(OFFSET(CRONOPLE!$F$14,$M28,AS$13)="",10^12,OFFSET(CRONOPLE!$F$14,$M28,AS$13))))</f>
        <v>1000000000000</v>
      </c>
      <c r="AT28" s="181">
        <f ca="1">IF($D28&lt;&gt;"Serviço",0,IF(AND(AUTOEVENTO="Manual",$M28=1),0,IF(OFFSET(CRONOPLE!$F$14,$M28,AT$13)="",10^12,OFFSET(CRONOPLE!$F$14,$M28,AT$13))))</f>
        <v>1000000000000</v>
      </c>
      <c r="AU28" s="181">
        <f ca="1">IF($D28&lt;&gt;"Serviço",0,IF(AND(AUTOEVENTO="Manual",$M28=1),0,IF(OFFSET(CRONOPLE!$F$14,$M28,AU$13)="",10^12,OFFSET(CRONOPLE!$F$14,$M28,AU$13))))</f>
        <v>1000000000000</v>
      </c>
      <c r="AV28" s="181">
        <f ca="1">IF($D28&lt;&gt;"Serviço",0,IF(AND(AUTOEVENTO="Manual",$M28=1),0,IF(OFFSET(CRONOPLE!$F$14,$M28,AV$13)="",10^12,OFFSET(CRONOPLE!$F$14,$M28,AV$13))))</f>
        <v>1000000000000</v>
      </c>
      <c r="AX28" s="182">
        <f ca="1">IF($D28&lt;&gt;"Serviço",0,IF(OR(AND(AUTOEVENTO="Manual",$M28=1),$M28&gt;(ROW(PLE.lastrow)-ROW(PLE.firstrow))),0,IF(OFFSET(PLE!$G$14,$M28,AX$13)="",10^12,OFFSET(PLE!$G$14,$M28,AX$13))))</f>
        <v>1000000000000</v>
      </c>
      <c r="AY28" s="182">
        <f ca="1">IF($D28&lt;&gt;"Serviço",0,IF(OR(AND(AUTOEVENTO="Manual",$M28=1),$M28&gt;(ROW(PLE.lastrow)-ROW(PLE.firstrow))),0,IF(OFFSET(PLE!$G$14,$M28,AY$13)="",10^12,OFFSET(PLE!$G$14,$M28,AY$13))))</f>
        <v>1000000000000</v>
      </c>
      <c r="AZ28" s="182">
        <f ca="1">IF($D28&lt;&gt;"Serviço",0,IF(OR(AND(AUTOEVENTO="Manual",$M28=1),$M28&gt;(ROW(PLE.lastrow)-ROW(PLE.firstrow))),0,IF(OFFSET(PLE!$G$14,$M28,AZ$13)="",10^12,OFFSET(PLE!$G$14,$M28,AZ$13))))</f>
        <v>1000000000000</v>
      </c>
      <c r="BA28" s="182">
        <f ca="1">IF($D28&lt;&gt;"Serviço",0,IF(OR(AND(AUTOEVENTO="Manual",$M28=1),$M28&gt;(ROW(PLE.lastrow)-ROW(PLE.firstrow))),0,IF(OFFSET(PLE!$G$14,$M28,BA$13)="",10^12,OFFSET(PLE!$G$14,$M28,BA$13))))</f>
        <v>1000000000000</v>
      </c>
      <c r="BB28" s="182">
        <f ca="1">IF($D28&lt;&gt;"Serviço",0,IF(OR(AND(AUTOEVENTO="Manual",$M28=1),$M28&gt;(ROW(PLE.lastrow)-ROW(PLE.firstrow))),0,IF(OFFSET(PLE!$G$14,$M28,BB$13)="",10^12,OFFSET(PLE!$G$14,$M28,BB$13))))</f>
        <v>1000000000000</v>
      </c>
      <c r="BC28" s="182">
        <f ca="1">IF($D28&lt;&gt;"Serviço",0,IF(OR(AND(AUTOEVENTO="Manual",$M28=1),$M28&gt;(ROW(PLE.lastrow)-ROW(PLE.firstrow))),0,IF(OFFSET(PLE!$G$14,$M28,BC$13)="",10^12,OFFSET(PLE!$G$14,$M28,BC$13))))</f>
        <v>1000000000000</v>
      </c>
      <c r="BD28" s="182">
        <f ca="1">IF($D28&lt;&gt;"Serviço",0,IF(OR(AND(AUTOEVENTO="Manual",$M28=1),$M28&gt;(ROW(PLE.lastrow)-ROW(PLE.firstrow))),0,IF(OFFSET(PLE!$G$14,$M28,BD$13)="",10^12,OFFSET(PLE!$G$14,$M28,BD$13))))</f>
        <v>1000000000000</v>
      </c>
      <c r="BE28" s="182">
        <f ca="1">IF($D28&lt;&gt;"Serviço",0,IF(OR(AND(AUTOEVENTO="Manual",$M28=1),$M28&gt;(ROW(PLE.lastrow)-ROW(PLE.firstrow))),0,IF(OFFSET(PLE!$G$14,$M28,BE$13)="",10^12,OFFSET(PLE!$G$14,$M28,BE$13))))</f>
        <v>1000000000000</v>
      </c>
      <c r="BF28" s="182">
        <f ca="1">IF($D28&lt;&gt;"Serviço",0,IF(OR(AND(AUTOEVENTO="Manual",$M28=1),$M28&gt;(ROW(PLE.lastrow)-ROW(PLE.firstrow))),0,IF(OFFSET(PLE!$G$14,$M28,BF$13)="",10^12,OFFSET(PLE!$G$14,$M28,BF$13))))</f>
        <v>1000000000000</v>
      </c>
      <c r="BG28" s="18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12.75" x14ac:dyDescent="0.2">
      <c r="A29" s="7" t="str">
        <f t="shared" ca="1" si="8"/>
        <v>10</v>
      </c>
      <c r="B29" s="7" t="str">
        <f ca="1">OFFSET(ORÇAMENTO!C$15,ROW(B29)-ROW(B$15),0)</f>
        <v>S</v>
      </c>
      <c r="C29" s="7" t="str">
        <f ca="1">OFFSET(ORÇAMENTO!L$15,ROW(C29)-ROW(C$15),0)</f>
        <v>F</v>
      </c>
      <c r="D29" s="118" t="str">
        <f ca="1">OFFSET(ORÇAMENTO!N$15,ROW(D29)-ROW(D$15),0)</f>
        <v>Serviço</v>
      </c>
      <c r="E29" s="119" t="str">
        <f ca="1">OFFSET(ORÇAMENTO!O$15,ROW(E29)-ROW(E$15),0)</f>
        <v>1.3.4.</v>
      </c>
      <c r="F29" s="172" t="str">
        <f ca="1">OFFSET(ORÇAMENTO!R$15,ROW(F29)-ROW(F$15),0)</f>
        <v>Usinagem de brita graduada com brita comercial em usina de 300 t/h</v>
      </c>
      <c r="G29" s="173" t="str">
        <f ca="1">IF($D29&lt;&gt;"Serviço","",OFFSET(ORÇAMENTO!S$15,ROW(G29)-ROW(G$15),0))</f>
        <v>m³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108.73</v>
      </c>
      <c r="I29" s="561"/>
      <c r="K29" s="174"/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177" t="str">
        <f ca="1">IF($D29&lt;&gt;"Serviço","",IF(AUTOEVENTO="Manual",IF($A29=0,"&lt;-- defina o número do agrupador",OFFSET(EVENTOS!$D$14,$A29,0)),OFFSET($F$15,$A29,0)))</f>
        <v>DRENAGEM</v>
      </c>
      <c r="O29" s="178"/>
      <c r="Q29" s="178"/>
      <c r="R29" s="179"/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 IF(Import.TipoArredondamento&lt;&gt;"TransfereGOV", ROUND(OFFSET($P29,0,AB$13),15-13*ORÇAMENTO!$AF$7)/$H29*OFFSET(ORÇAMENTO!$X$15,ROW(AB29)-ROW(AB$15),0), 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 IF(Import.TipoArredondamento&lt;&gt;"TransfereGOV", ROUND(OFFSET($P29,0,AC$13),15-13*ORÇAMENTO!$AF$7)/$H29*OFFSET(ORÇAMENTO!$X$15,ROW(AC29)-ROW(AC$15),0), ROUND(ROUND(OFFSET($P29,0,AC$13),15-13*ORÇAMENTO!$AF$7)*OFFSET(ORÇAMENTO!$W$15,ROW(AC29)-ROW(AC$15),0),15-13*ORÇAMENTO!$AF$11)),0)</f>
        <v>0</v>
      </c>
      <c r="AD29" s="545">
        <f ca="1">IF(AND($D29="Serviço",AD$12&lt;&gt;0,$H29&gt;0,OR(AUTOEVENTO&lt;&gt;"manual",$M29&lt;&gt;1)), IF(Import.TipoArredondamento&lt;&gt;"TransfereGOV", ROUND(OFFSET($P29,0,AD$13),15-13*ORÇAMENTO!$AF$7)/$H29*OFFSET(ORÇAMENTO!$X$15,ROW(AD29)-ROW(AD$15),0), 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 IF(Import.TipoArredondamento&lt;&gt;"TransfereGOV", ROUND(OFFSET($P29,0,AE$13),15-13*ORÇAMENTO!$AF$7)/$H29*OFFSET(ORÇAMENTO!$X$15,ROW(AE29)-ROW(AE$15),0), 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 IF(Import.TipoArredondamento&lt;&gt;"TransfereGOV", ROUND(OFFSET($P29,0,AF$13),15-13*ORÇAMENTO!$AF$7)/$H29*OFFSET(ORÇAMENTO!$X$15,ROW(AF29)-ROW(AF$15),0), 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 IF(Import.TipoArredondamento&lt;&gt;"TransfereGOV", ROUND(OFFSET($P29,0,AG$13),15-13*ORÇAMENTO!$AF$7)/$H29*OFFSET(ORÇAMENTO!$X$15,ROW(AG29)-ROW(AG$15),0), 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 IF(Import.TipoArredondamento&lt;&gt;"TransfereGOV", ROUND(OFFSET($P29,0,AH$13),15-13*ORÇAMENTO!$AF$7)/$H29*OFFSET(ORÇAMENTO!$X$15,ROW(AH29)-ROW(AH$15),0), 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 IF(Import.TipoArredondamento&lt;&gt;"TransfereGOV", ROUND(OFFSET($P29,0,AI$13),15-13*ORÇAMENTO!$AF$7)/$H29*OFFSET(ORÇAMENTO!$X$15,ROW(AI29)-ROW(AI$15),0), 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 IF(Import.TipoArredondamento&lt;&gt;"TransfereGOV", ROUND(OFFSET($P29,0,AJ$13),15-13*ORÇAMENTO!$AF$7)/$H29*OFFSET(ORÇAMENTO!$X$15,ROW(AJ29)-ROW(AJ$15),0), 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 IF(Import.TipoArredondamento&lt;&gt;"TransfereGOV", ROUND(OFFSET($P29,0,AK$13),15-13*ORÇAMENTO!$AF$7)/$H29*OFFSET(ORÇAMENTO!$X$15,ROW(AK29)-ROW(AK$15),0), 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1000000000000</v>
      </c>
      <c r="AN29" s="181">
        <f ca="1">IF($D29&lt;&gt;"Serviço",0,IF(AND(AUTOEVENTO="Manual",$M29=1),0,IF(OFFSET(CRONOPLE!$F$14,$M29,AN$13)="",10^12,OFFSET(CRONOPLE!$F$14,$M29,AN$13))))</f>
        <v>1000000000000</v>
      </c>
      <c r="AO29" s="181">
        <f ca="1">IF($D29&lt;&gt;"Serviço",0,IF(AND(AUTOEVENTO="Manual",$M29=1),0,IF(OFFSET(CRONOPLE!$F$14,$M29,AO$13)="",10^12,OFFSET(CRONOPLE!$F$14,$M29,AO$13))))</f>
        <v>1000000000000</v>
      </c>
      <c r="AP29" s="181">
        <f ca="1">IF($D29&lt;&gt;"Serviço",0,IF(AND(AUTOEVENTO="Manual",$M29=1),0,IF(OFFSET(CRONOPLE!$F$14,$M29,AP$13)="",10^12,OFFSET(CRONOPLE!$F$14,$M29,AP$13))))</f>
        <v>1000000000000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12.75" x14ac:dyDescent="0.2">
      <c r="A30" s="7" t="str">
        <f t="shared" ca="1" si="8"/>
        <v>10</v>
      </c>
      <c r="B30" s="7" t="str">
        <f ca="1">OFFSET(ORÇAMENTO!C$15,ROW(B30)-ROW(B$15),0)</f>
        <v>S</v>
      </c>
      <c r="C30" s="7" t="str">
        <f ca="1">OFFSET(ORÇAMENTO!L$15,ROW(C30)-ROW(C$15),0)</f>
        <v>F</v>
      </c>
      <c r="D30" s="118" t="str">
        <f ca="1">OFFSET(ORÇAMENTO!N$15,ROW(D30)-ROW(D$15),0)</f>
        <v>Serviço</v>
      </c>
      <c r="E30" s="119" t="str">
        <f ca="1">OFFSET(ORÇAMENTO!O$15,ROW(E30)-ROW(E$15),0)</f>
        <v>1.3.5.</v>
      </c>
      <c r="F30" s="172" t="str">
        <f ca="1">OFFSET(ORÇAMENTO!R$15,ROW(F30)-ROW(F$15),0)</f>
        <v>Transporte com caminhão basculante de 10 m³ - rodovia pavimentada</v>
      </c>
      <c r="G30" s="173" t="str">
        <f ca="1">IF($D30&lt;&gt;"Serviço","",OFFSET(ORÇAMENTO!S$15,ROW(G30)-ROW(G$15),0))</f>
        <v>tkm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5545.23</v>
      </c>
      <c r="I30" s="561"/>
      <c r="K30" s="174"/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4</v>
      </c>
      <c r="N30" s="177" t="str">
        <f ca="1">IF($D30&lt;&gt;"Serviço","",IF(AUTOEVENTO="Manual",IF($A30=0,"&lt;-- defina o número do agrupador",OFFSET(EVENTOS!$D$14,$A30,0)),OFFSET($F$15,$A30,0)))</f>
        <v>DRENAGEM</v>
      </c>
      <c r="O30" s="178"/>
      <c r="Q30" s="178"/>
      <c r="R30" s="179"/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 IF(Import.TipoArredondamento&lt;&gt;"TransfereGOV", ROUND(OFFSET($P30,0,AB$13),15-13*ORÇAMENTO!$AF$7)/$H30*OFFSET(ORÇAMENTO!$X$15,ROW(AB30)-ROW(AB$15),0), 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 IF(Import.TipoArredondamento&lt;&gt;"TransfereGOV", ROUND(OFFSET($P30,0,AC$13),15-13*ORÇAMENTO!$AF$7)/$H30*OFFSET(ORÇAMENTO!$X$15,ROW(AC30)-ROW(AC$15),0), ROUND(ROUND(OFFSET($P30,0,AC$13),15-13*ORÇAMENTO!$AF$7)*OFFSET(ORÇAMENTO!$W$15,ROW(AC30)-ROW(AC$15),0),15-13*ORÇAMENTO!$AF$11)),0)</f>
        <v>0</v>
      </c>
      <c r="AD30" s="545">
        <f ca="1">IF(AND($D30="Serviço",AD$12&lt;&gt;0,$H30&gt;0,OR(AUTOEVENTO&lt;&gt;"manual",$M30&lt;&gt;1)), IF(Import.TipoArredondamento&lt;&gt;"TransfereGOV", ROUND(OFFSET($P30,0,AD$13),15-13*ORÇAMENTO!$AF$7)/$H30*OFFSET(ORÇAMENTO!$X$15,ROW(AD30)-ROW(AD$15),0), 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 IF(Import.TipoArredondamento&lt;&gt;"TransfereGOV", ROUND(OFFSET($P30,0,AE$13),15-13*ORÇAMENTO!$AF$7)/$H30*OFFSET(ORÇAMENTO!$X$15,ROW(AE30)-ROW(AE$15),0), 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 IF(Import.TipoArredondamento&lt;&gt;"TransfereGOV", ROUND(OFFSET($P30,0,AF$13),15-13*ORÇAMENTO!$AF$7)/$H30*OFFSET(ORÇAMENTO!$X$15,ROW(AF30)-ROW(AF$15),0), 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 IF(Import.TipoArredondamento&lt;&gt;"TransfereGOV", ROUND(OFFSET($P30,0,AG$13),15-13*ORÇAMENTO!$AF$7)/$H30*OFFSET(ORÇAMENTO!$X$15,ROW(AG30)-ROW(AG$15),0), 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 IF(Import.TipoArredondamento&lt;&gt;"TransfereGOV", ROUND(OFFSET($P30,0,AH$13),15-13*ORÇAMENTO!$AF$7)/$H30*OFFSET(ORÇAMENTO!$X$15,ROW(AH30)-ROW(AH$15),0), 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 IF(Import.TipoArredondamento&lt;&gt;"TransfereGOV", ROUND(OFFSET($P30,0,AI$13),15-13*ORÇAMENTO!$AF$7)/$H30*OFFSET(ORÇAMENTO!$X$15,ROW(AI30)-ROW(AI$15),0), 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 IF(Import.TipoArredondamento&lt;&gt;"TransfereGOV", ROUND(OFFSET($P30,0,AJ$13),15-13*ORÇAMENTO!$AF$7)/$H30*OFFSET(ORÇAMENTO!$X$15,ROW(AJ30)-ROW(AJ$15),0), 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 IF(Import.TipoArredondamento&lt;&gt;"TransfereGOV", ROUND(OFFSET($P30,0,AK$13),15-13*ORÇAMENTO!$AF$7)/$H30*OFFSET(ORÇAMENTO!$X$15,ROW(AK30)-ROW(AK$15),0), 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1000000000000</v>
      </c>
      <c r="AN30" s="181">
        <f ca="1">IF($D30&lt;&gt;"Serviço",0,IF(AND(AUTOEVENTO="Manual",$M30=1),0,IF(OFFSET(CRONOPLE!$F$14,$M30,AN$13)="",10^12,OFFSET(CRONOPLE!$F$14,$M30,AN$13))))</f>
        <v>1000000000000</v>
      </c>
      <c r="AO30" s="181">
        <f ca="1">IF($D30&lt;&gt;"Serviço",0,IF(AND(AUTOEVENTO="Manual",$M30=1),0,IF(OFFSET(CRONOPLE!$F$14,$M30,AO$13)="",10^12,OFFSET(CRONOPLE!$F$14,$M30,AO$13))))</f>
        <v>1000000000000</v>
      </c>
      <c r="AP30" s="181">
        <f ca="1">IF($D30&lt;&gt;"Serviço",0,IF(AND(AUTOEVENTO="Manual",$M30=1),0,IF(OFFSET(CRONOPLE!$F$14,$M30,AP$13)="",10^12,OFFSET(CRONOPLE!$F$14,$M30,AP$13))))</f>
        <v>1000000000000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12.75" x14ac:dyDescent="0.2">
      <c r="A31" s="7" t="str">
        <f t="shared" ca="1" si="8"/>
        <v>10</v>
      </c>
      <c r="B31" s="7" t="str">
        <f ca="1">OFFSET(ORÇAMENTO!C$15,ROW(B31)-ROW(B$15),0)</f>
        <v>S</v>
      </c>
      <c r="C31" s="7" t="str">
        <f ca="1">OFFSET(ORÇAMENTO!L$15,ROW(C31)-ROW(C$15),0)</f>
        <v>F</v>
      </c>
      <c r="D31" s="118" t="str">
        <f ca="1">OFFSET(ORÇAMENTO!N$15,ROW(D31)-ROW(D$15),0)</f>
        <v>Serviço</v>
      </c>
      <c r="E31" s="119" t="str">
        <f ca="1">OFFSET(ORÇAMENTO!O$15,ROW(E31)-ROW(E$15),0)</f>
        <v>1.3.6.</v>
      </c>
      <c r="F31" s="172" t="str">
        <f ca="1">OFFSET(ORÇAMENTO!R$15,ROW(F31)-ROW(F$15),0)</f>
        <v>BOCA DE LOBO COM GRADE 80X80 (INTERNA) - TIPO BL</v>
      </c>
      <c r="G31" s="173" t="str">
        <f ca="1">IF($D31&lt;&gt;"Serviço","",OFFSET(ORÇAMENTO!S$15,ROW(G31)-ROW(G$15),0))</f>
        <v>UNID.</v>
      </c>
      <c r="H31" s="124">
        <f ca="1">IF($D31&lt;&gt;"Serviço",0,IF(ACOMPANHAMENTO="BM",ROUND(OFFSET(ORÇAMENTO!AJ$15,ROW(H31)-ROW(H$15),0),15-13*ORÇAMENTO!$AF$7),SUMPRODUCT(($Q$12:$AA$12&lt;&gt;"")*ROUND($Q31:$AA31,15-13*ORÇAMENTO!$AF$7))))</f>
        <v>4</v>
      </c>
      <c r="I31" s="561"/>
      <c r="K31" s="174"/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4</v>
      </c>
      <c r="N31" s="177" t="str">
        <f ca="1">IF($D31&lt;&gt;"Serviço","",IF(AUTOEVENTO="Manual",IF($A31=0,"&lt;-- defina o número do agrupador",OFFSET(EVENTOS!$D$14,$A31,0)),OFFSET($F$15,$A31,0)))</f>
        <v>DRENAGEM</v>
      </c>
      <c r="O31" s="178"/>
      <c r="Q31" s="178"/>
      <c r="R31" s="179"/>
      <c r="S31" s="179"/>
      <c r="T31" s="179"/>
      <c r="U31" s="179"/>
      <c r="V31" s="179"/>
      <c r="W31" s="179"/>
      <c r="X31" s="179"/>
      <c r="Y31" s="179"/>
      <c r="Z31" s="180"/>
      <c r="AB31" s="544">
        <f ca="1">IF(AND($D31="Serviço",AB$12&lt;&gt;0,$H31&gt;0,OR(AUTOEVENTO&lt;&gt;"manual",$M31&lt;&gt;1)), IF(Import.TipoArredondamento&lt;&gt;"TransfereGOV", ROUND(OFFSET($P31,0,AB$13),15-13*ORÇAMENTO!$AF$7)/$H31*OFFSET(ORÇAMENTO!$X$15,ROW(AB31)-ROW(AB$15),0), ROUND(ROUND(OFFSET($P31,0,AB$13),15-13*ORÇAMENTO!$AF$7)*OFFSET(ORÇAMENTO!$W$15,ROW(AB31)-ROW(AB$15),0),15-13*ORÇAMENTO!$AF$11)),0)</f>
        <v>0</v>
      </c>
      <c r="AC31" s="545">
        <f ca="1">IF(AND($D31="Serviço",AC$12&lt;&gt;0,$H31&gt;0,OR(AUTOEVENTO&lt;&gt;"manual",$M31&lt;&gt;1)), IF(Import.TipoArredondamento&lt;&gt;"TransfereGOV", ROUND(OFFSET($P31,0,AC$13),15-13*ORÇAMENTO!$AF$7)/$H31*OFFSET(ORÇAMENTO!$X$15,ROW(AC31)-ROW(AC$15),0), ROUND(ROUND(OFFSET($P31,0,AC$13),15-13*ORÇAMENTO!$AF$7)*OFFSET(ORÇAMENTO!$W$15,ROW(AC31)-ROW(AC$15),0),15-13*ORÇAMENTO!$AF$11)),0)</f>
        <v>0</v>
      </c>
      <c r="AD31" s="545">
        <f ca="1">IF(AND($D31="Serviço",AD$12&lt;&gt;0,$H31&gt;0,OR(AUTOEVENTO&lt;&gt;"manual",$M31&lt;&gt;1)), IF(Import.TipoArredondamento&lt;&gt;"TransfereGOV", ROUND(OFFSET($P31,0,AD$13),15-13*ORÇAMENTO!$AF$7)/$H31*OFFSET(ORÇAMENTO!$X$15,ROW(AD31)-ROW(AD$15),0), ROUND(ROUND(OFFSET($P31,0,AD$13),15-13*ORÇAMENTO!$AF$7)*OFFSET(ORÇAMENTO!$W$15,ROW(AD31)-ROW(AD$15),0),15-13*ORÇAMENTO!$AF$11)),0)</f>
        <v>0</v>
      </c>
      <c r="AE31" s="545">
        <f ca="1">IF(AND($D31="Serviço",AE$12&lt;&gt;0,$H31&gt;0,OR(AUTOEVENTO&lt;&gt;"manual",$M31&lt;&gt;1)), IF(Import.TipoArredondamento&lt;&gt;"TransfereGOV", ROUND(OFFSET($P31,0,AE$13),15-13*ORÇAMENTO!$AF$7)/$H31*OFFSET(ORÇAMENTO!$X$15,ROW(AE31)-ROW(AE$15),0), ROUND(ROUND(OFFSET($P31,0,AE$13),15-13*ORÇAMENTO!$AF$7)*OFFSET(ORÇAMENTO!$W$15,ROW(AE31)-ROW(AE$15),0),15-13*ORÇAMENTO!$AF$11)),0)</f>
        <v>0</v>
      </c>
      <c r="AF31" s="545">
        <f ca="1">IF(AND($D31="Serviço",AF$12&lt;&gt;0,$H31&gt;0,OR(AUTOEVENTO&lt;&gt;"manual",$M31&lt;&gt;1)), IF(Import.TipoArredondamento&lt;&gt;"TransfereGOV", ROUND(OFFSET($P31,0,AF$13),15-13*ORÇAMENTO!$AF$7)/$H31*OFFSET(ORÇAMENTO!$X$15,ROW(AF31)-ROW(AF$15),0), ROUND(ROUND(OFFSET($P31,0,AF$13),15-13*ORÇAMENTO!$AF$7)*OFFSET(ORÇAMENTO!$W$15,ROW(AF31)-ROW(AF$15),0),15-13*ORÇAMENTO!$AF$11)),0)</f>
        <v>0</v>
      </c>
      <c r="AG31" s="545">
        <f ca="1">IF(AND($D31="Serviço",AG$12&lt;&gt;0,$H31&gt;0,OR(AUTOEVENTO&lt;&gt;"manual",$M31&lt;&gt;1)), IF(Import.TipoArredondamento&lt;&gt;"TransfereGOV", ROUND(OFFSET($P31,0,AG$13),15-13*ORÇAMENTO!$AF$7)/$H31*OFFSET(ORÇAMENTO!$X$15,ROW(AG31)-ROW(AG$15),0), ROUND(ROUND(OFFSET($P31,0,AG$13),15-13*ORÇAMENTO!$AF$7)*OFFSET(ORÇAMENTO!$W$15,ROW(AG31)-ROW(AG$15),0),15-13*ORÇAMENTO!$AF$11)),0)</f>
        <v>0</v>
      </c>
      <c r="AH31" s="545">
        <f ca="1">IF(AND($D31="Serviço",AH$12&lt;&gt;0,$H31&gt;0,OR(AUTOEVENTO&lt;&gt;"manual",$M31&lt;&gt;1)), IF(Import.TipoArredondamento&lt;&gt;"TransfereGOV", ROUND(OFFSET($P31,0,AH$13),15-13*ORÇAMENTO!$AF$7)/$H31*OFFSET(ORÇAMENTO!$X$15,ROW(AH31)-ROW(AH$15),0), ROUND(ROUND(OFFSET($P31,0,AH$13),15-13*ORÇAMENTO!$AF$7)*OFFSET(ORÇAMENTO!$W$15,ROW(AH31)-ROW(AH$15),0),15-13*ORÇAMENTO!$AF$11)),0)</f>
        <v>0</v>
      </c>
      <c r="AI31" s="545">
        <f ca="1">IF(AND($D31="Serviço",AI$12&lt;&gt;0,$H31&gt;0,OR(AUTOEVENTO&lt;&gt;"manual",$M31&lt;&gt;1)), IF(Import.TipoArredondamento&lt;&gt;"TransfereGOV", ROUND(OFFSET($P31,0,AI$13),15-13*ORÇAMENTO!$AF$7)/$H31*OFFSET(ORÇAMENTO!$X$15,ROW(AI31)-ROW(AI$15),0), ROUND(ROUND(OFFSET($P31,0,AI$13),15-13*ORÇAMENTO!$AF$7)*OFFSET(ORÇAMENTO!$W$15,ROW(AI31)-ROW(AI$15),0),15-13*ORÇAMENTO!$AF$11)),0)</f>
        <v>0</v>
      </c>
      <c r="AJ31" s="545">
        <f ca="1">IF(AND($D31="Serviço",AJ$12&lt;&gt;0,$H31&gt;0,OR(AUTOEVENTO&lt;&gt;"manual",$M31&lt;&gt;1)), IF(Import.TipoArredondamento&lt;&gt;"TransfereGOV", ROUND(OFFSET($P31,0,AJ$13),15-13*ORÇAMENTO!$AF$7)/$H31*OFFSET(ORÇAMENTO!$X$15,ROW(AJ31)-ROW(AJ$15),0), ROUND(ROUND(OFFSET($P31,0,AJ$13),15-13*ORÇAMENTO!$AF$7)*OFFSET(ORÇAMENTO!$W$15,ROW(AJ31)-ROW(AJ$15),0),15-13*ORÇAMENTO!$AF$11)),0)</f>
        <v>0</v>
      </c>
      <c r="AK31" s="546">
        <f ca="1">IF(AND($D31="Serviço",AK$12&lt;&gt;0,$H31&gt;0,OR(AUTOEVENTO&lt;&gt;"manual",$M31&lt;&gt;1)), IF(Import.TipoArredondamento&lt;&gt;"TransfereGOV", ROUND(OFFSET($P31,0,AK$13),15-13*ORÇAMENTO!$AF$7)/$H31*OFFSET(ORÇAMENTO!$X$15,ROW(AK31)-ROW(AK$15),0), ROUND(ROUND(OFFSET($P31,0,AK$13),15-13*ORÇAMENTO!$AF$7)*OFFSET(ORÇAMENTO!$W$15,ROW(AK31)-ROW(AK$15),0),15-13*ORÇAMENTO!$AF$11)),0)</f>
        <v>0</v>
      </c>
      <c r="AM31" s="181">
        <f ca="1">IF($D31&lt;&gt;"Serviço",0,IF(AND(AUTOEVENTO="Manual",$M31=1),0,IF(OFFSET(CRONOPLE!$F$14,$M31,AM$13)="",10^12,OFFSET(CRONOPLE!$F$14,$M31,AM$13))))</f>
        <v>1000000000000</v>
      </c>
      <c r="AN31" s="181">
        <f ca="1">IF($D31&lt;&gt;"Serviço",0,IF(AND(AUTOEVENTO="Manual",$M31=1),0,IF(OFFSET(CRONOPLE!$F$14,$M31,AN$13)="",10^12,OFFSET(CRONOPLE!$F$14,$M31,AN$13))))</f>
        <v>1000000000000</v>
      </c>
      <c r="AO31" s="181">
        <f ca="1">IF($D31&lt;&gt;"Serviço",0,IF(AND(AUTOEVENTO="Manual",$M31=1),0,IF(OFFSET(CRONOPLE!$F$14,$M31,AO$13)="",10^12,OFFSET(CRONOPLE!$F$14,$M31,AO$13))))</f>
        <v>1000000000000</v>
      </c>
      <c r="AP31" s="181">
        <f ca="1">IF($D31&lt;&gt;"Serviço",0,IF(AND(AUTOEVENTO="Manual",$M31=1),0,IF(OFFSET(CRONOPLE!$F$14,$M31,AP$13)="",10^12,OFFSET(CRONOPLE!$F$14,$M31,AP$13))))</f>
        <v>1000000000000</v>
      </c>
      <c r="AQ31" s="181">
        <f ca="1">IF($D31&lt;&gt;"Serviço",0,IF(AND(AUTOEVENTO="Manual",$M31=1),0,IF(OFFSET(CRONOPLE!$F$14,$M31,AQ$13)="",10^12,OFFSET(CRONOPLE!$F$14,$M31,AQ$13))))</f>
        <v>1000000000000</v>
      </c>
      <c r="AR31" s="181">
        <f ca="1">IF($D31&lt;&gt;"Serviço",0,IF(AND(AUTOEVENTO="Manual",$M31=1),0,IF(OFFSET(CRONOPLE!$F$14,$M31,AR$13)="",10^12,OFFSET(CRONOPLE!$F$14,$M31,AR$13))))</f>
        <v>1000000000000</v>
      </c>
      <c r="AS31" s="181">
        <f ca="1">IF($D31&lt;&gt;"Serviço",0,IF(AND(AUTOEVENTO="Manual",$M31=1),0,IF(OFFSET(CRONOPLE!$F$14,$M31,AS$13)="",10^12,OFFSET(CRONOPLE!$F$14,$M31,AS$13))))</f>
        <v>1000000000000</v>
      </c>
      <c r="AT31" s="181">
        <f ca="1">IF($D31&lt;&gt;"Serviço",0,IF(AND(AUTOEVENTO="Manual",$M31=1),0,IF(OFFSET(CRONOPLE!$F$14,$M31,AT$13)="",10^12,OFFSET(CRONOPLE!$F$14,$M31,AT$13))))</f>
        <v>1000000000000</v>
      </c>
      <c r="AU31" s="181">
        <f ca="1">IF($D31&lt;&gt;"Serviço",0,IF(AND(AUTOEVENTO="Manual",$M31=1),0,IF(OFFSET(CRONOPLE!$F$14,$M31,AU$13)="",10^12,OFFSET(CRONOPLE!$F$14,$M31,AU$13))))</f>
        <v>1000000000000</v>
      </c>
      <c r="AV31" s="181">
        <f ca="1">IF($D31&lt;&gt;"Serviço",0,IF(AND(AUTOEVENTO="Manual",$M31=1),0,IF(OFFSET(CRONOPLE!$F$14,$M31,AV$13)="",10^12,OFFSET(CRONOPLE!$F$14,$M31,AV$13))))</f>
        <v>1000000000000</v>
      </c>
      <c r="AX31" s="182">
        <f ca="1">IF($D31&lt;&gt;"Serviço",0,IF(OR(AND(AUTOEVENTO="Manual",$M31=1),$M31&gt;(ROW(PLE.lastrow)-ROW(PLE.firstrow))),0,IF(OFFSET(PLE!$G$14,$M31,AX$13)="",10^12,OFFSET(PLE!$G$14,$M31,AX$13))))</f>
        <v>1000000000000</v>
      </c>
      <c r="AY31" s="182">
        <f ca="1">IF($D31&lt;&gt;"Serviço",0,IF(OR(AND(AUTOEVENTO="Manual",$M31=1),$M31&gt;(ROW(PLE.lastrow)-ROW(PLE.firstrow))),0,IF(OFFSET(PLE!$G$14,$M31,AY$13)="",10^12,OFFSET(PLE!$G$14,$M31,AY$13))))</f>
        <v>1000000000000</v>
      </c>
      <c r="AZ31" s="182">
        <f ca="1">IF($D31&lt;&gt;"Serviço",0,IF(OR(AND(AUTOEVENTO="Manual",$M31=1),$M31&gt;(ROW(PLE.lastrow)-ROW(PLE.firstrow))),0,IF(OFFSET(PLE!$G$14,$M31,AZ$13)="",10^12,OFFSET(PLE!$G$14,$M31,AZ$13))))</f>
        <v>1000000000000</v>
      </c>
      <c r="BA31" s="182">
        <f ca="1">IF($D31&lt;&gt;"Serviço",0,IF(OR(AND(AUTOEVENTO="Manual",$M31=1),$M31&gt;(ROW(PLE.lastrow)-ROW(PLE.firstrow))),0,IF(OFFSET(PLE!$G$14,$M31,BA$13)="",10^12,OFFSET(PLE!$G$14,$M31,BA$13))))</f>
        <v>1000000000000</v>
      </c>
      <c r="BB31" s="182">
        <f ca="1">IF($D31&lt;&gt;"Serviço",0,IF(OR(AND(AUTOEVENTO="Manual",$M31=1),$M31&gt;(ROW(PLE.lastrow)-ROW(PLE.firstrow))),0,IF(OFFSET(PLE!$G$14,$M31,BB$13)="",10^12,OFFSET(PLE!$G$14,$M31,BB$13))))</f>
        <v>1000000000000</v>
      </c>
      <c r="BC31" s="182">
        <f ca="1">IF($D31&lt;&gt;"Serviço",0,IF(OR(AND(AUTOEVENTO="Manual",$M31=1),$M31&gt;(ROW(PLE.lastrow)-ROW(PLE.firstrow))),0,IF(OFFSET(PLE!$G$14,$M31,BC$13)="",10^12,OFFSET(PLE!$G$14,$M31,BC$13))))</f>
        <v>1000000000000</v>
      </c>
      <c r="BD31" s="182">
        <f ca="1">IF($D31&lt;&gt;"Serviço",0,IF(OR(AND(AUTOEVENTO="Manual",$M31=1),$M31&gt;(ROW(PLE.lastrow)-ROW(PLE.firstrow))),0,IF(OFFSET(PLE!$G$14,$M31,BD$13)="",10^12,OFFSET(PLE!$G$14,$M31,BD$13))))</f>
        <v>1000000000000</v>
      </c>
      <c r="BE31" s="182">
        <f ca="1">IF($D31&lt;&gt;"Serviço",0,IF(OR(AND(AUTOEVENTO="Manual",$M31=1),$M31&gt;(ROW(PLE.lastrow)-ROW(PLE.firstrow))),0,IF(OFFSET(PLE!$G$14,$M31,BE$13)="",10^12,OFFSET(PLE!$G$14,$M31,BE$13))))</f>
        <v>1000000000000</v>
      </c>
      <c r="BF31" s="182">
        <f ca="1">IF($D31&lt;&gt;"Serviço",0,IF(OR(AND(AUTOEVENTO="Manual",$M31=1),$M31&gt;(ROW(PLE.lastrow)-ROW(PLE.firstrow))),0,IF(OFFSET(PLE!$G$14,$M31,BF$13)="",10^12,OFFSET(PLE!$G$14,$M31,BF$13))))</f>
        <v>1000000000000</v>
      </c>
      <c r="BG31" s="18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25.5" x14ac:dyDescent="0.2">
      <c r="A32" s="7" t="str">
        <f t="shared" ca="1" si="8"/>
        <v>10</v>
      </c>
      <c r="B32" s="7" t="str">
        <f ca="1">OFFSET(ORÇAMENTO!C$15,ROW(B32)-ROW(B$15),0)</f>
        <v>S</v>
      </c>
      <c r="C32" s="7" t="str">
        <f ca="1">OFFSET(ORÇAMENTO!L$15,ROW(C32)-ROW(C$15),0)</f>
        <v>F</v>
      </c>
      <c r="D32" s="118" t="str">
        <f ca="1">OFFSET(ORÇAMENTO!N$15,ROW(D32)-ROW(D$15),0)</f>
        <v>Serviço</v>
      </c>
      <c r="E32" s="119" t="str">
        <f ca="1">OFFSET(ORÇAMENTO!O$15,ROW(E32)-ROW(E$15),0)</f>
        <v>1.3.7.</v>
      </c>
      <c r="F32" s="172" t="str">
        <f ca="1">OFFSET(ORÇAMENTO!R$15,ROW(F32)-ROW(F$15),0)</f>
        <v>AJUSTE DE BOCA DE LOBO EXISTENTE PARA CONEXÃO A NOVA REDE</v>
      </c>
      <c r="G32" s="173" t="str">
        <f ca="1">IF($D32&lt;&gt;"Serviço","",OFFSET(ORÇAMENTO!S$15,ROW(G32)-ROW(G$15),0))</f>
        <v>UNID.</v>
      </c>
      <c r="H32" s="124">
        <f ca="1">IF($D32&lt;&gt;"Serviço",0,IF(ACOMPANHAMENTO="BM",ROUND(OFFSET(ORÇAMENTO!AJ$15,ROW(H32)-ROW(H$15),0),15-13*ORÇAMENTO!$AF$7),SUMPRODUCT(($Q$12:$AA$12&lt;&gt;"")*ROUND($Q32:$AA32,15-13*ORÇAMENTO!$AF$7))))</f>
        <v>2</v>
      </c>
      <c r="I32" s="561"/>
      <c r="K32" s="174"/>
      <c r="L32" s="175" t="s">
        <v>255</v>
      </c>
      <c r="M32" s="176">
        <f ca="1">IF($D32&lt;&gt;"Serviço","",IF(AUTOEVENTO="manual",$A32,IF(ISERROR(MATCH($A32,$A$15:OFFSET($A32,-1,0),0)),MAX($M$15:OFFSET(M32,-1,0))+1,INDEX($M$15:OFFSET(M32,-1,0),MATCH($A32,$A$15:OFFSET($A32,-1,0),0)))))</f>
        <v>4</v>
      </c>
      <c r="N32" s="177" t="str">
        <f ca="1">IF($D32&lt;&gt;"Serviço","",IF(AUTOEVENTO="Manual",IF($A32=0,"&lt;-- defina o número do agrupador",OFFSET(EVENTOS!$D$14,$A32,0)),OFFSET($F$15,$A32,0)))</f>
        <v>DRENAGEM</v>
      </c>
      <c r="O32" s="178"/>
      <c r="Q32" s="178"/>
      <c r="R32" s="179"/>
      <c r="S32" s="179"/>
      <c r="T32" s="179"/>
      <c r="U32" s="179"/>
      <c r="V32" s="179"/>
      <c r="W32" s="179"/>
      <c r="X32" s="179"/>
      <c r="Y32" s="179"/>
      <c r="Z32" s="180"/>
      <c r="AB32" s="544">
        <f ca="1">IF(AND($D32="Serviço",AB$12&lt;&gt;0,$H32&gt;0,OR(AUTOEVENTO&lt;&gt;"manual",$M32&lt;&gt;1)), IF(Import.TipoArredondamento&lt;&gt;"TransfereGOV", ROUND(OFFSET($P32,0,AB$13),15-13*ORÇAMENTO!$AF$7)/$H32*OFFSET(ORÇAMENTO!$X$15,ROW(AB32)-ROW(AB$15),0), ROUND(ROUND(OFFSET($P32,0,AB$13),15-13*ORÇAMENTO!$AF$7)*OFFSET(ORÇAMENTO!$W$15,ROW(AB32)-ROW(AB$15),0),15-13*ORÇAMENTO!$AF$11)),0)</f>
        <v>0</v>
      </c>
      <c r="AC32" s="545">
        <f ca="1">IF(AND($D32="Serviço",AC$12&lt;&gt;0,$H32&gt;0,OR(AUTOEVENTO&lt;&gt;"manual",$M32&lt;&gt;1)), IF(Import.TipoArredondamento&lt;&gt;"TransfereGOV", ROUND(OFFSET($P32,0,AC$13),15-13*ORÇAMENTO!$AF$7)/$H32*OFFSET(ORÇAMENTO!$X$15,ROW(AC32)-ROW(AC$15),0), ROUND(ROUND(OFFSET($P32,0,AC$13),15-13*ORÇAMENTO!$AF$7)*OFFSET(ORÇAMENTO!$W$15,ROW(AC32)-ROW(AC$15),0),15-13*ORÇAMENTO!$AF$11)),0)</f>
        <v>0</v>
      </c>
      <c r="AD32" s="545">
        <f ca="1">IF(AND($D32="Serviço",AD$12&lt;&gt;0,$H32&gt;0,OR(AUTOEVENTO&lt;&gt;"manual",$M32&lt;&gt;1)), IF(Import.TipoArredondamento&lt;&gt;"TransfereGOV", ROUND(OFFSET($P32,0,AD$13),15-13*ORÇAMENTO!$AF$7)/$H32*OFFSET(ORÇAMENTO!$X$15,ROW(AD32)-ROW(AD$15),0), ROUND(ROUND(OFFSET($P32,0,AD$13),15-13*ORÇAMENTO!$AF$7)*OFFSET(ORÇAMENTO!$W$15,ROW(AD32)-ROW(AD$15),0),15-13*ORÇAMENTO!$AF$11)),0)</f>
        <v>0</v>
      </c>
      <c r="AE32" s="545">
        <f ca="1">IF(AND($D32="Serviço",AE$12&lt;&gt;0,$H32&gt;0,OR(AUTOEVENTO&lt;&gt;"manual",$M32&lt;&gt;1)), IF(Import.TipoArredondamento&lt;&gt;"TransfereGOV", ROUND(OFFSET($P32,0,AE$13),15-13*ORÇAMENTO!$AF$7)/$H32*OFFSET(ORÇAMENTO!$X$15,ROW(AE32)-ROW(AE$15),0), ROUND(ROUND(OFFSET($P32,0,AE$13),15-13*ORÇAMENTO!$AF$7)*OFFSET(ORÇAMENTO!$W$15,ROW(AE32)-ROW(AE$15),0),15-13*ORÇAMENTO!$AF$11)),0)</f>
        <v>0</v>
      </c>
      <c r="AF32" s="545">
        <f ca="1">IF(AND($D32="Serviço",AF$12&lt;&gt;0,$H32&gt;0,OR(AUTOEVENTO&lt;&gt;"manual",$M32&lt;&gt;1)), IF(Import.TipoArredondamento&lt;&gt;"TransfereGOV", ROUND(OFFSET($P32,0,AF$13),15-13*ORÇAMENTO!$AF$7)/$H32*OFFSET(ORÇAMENTO!$X$15,ROW(AF32)-ROW(AF$15),0), ROUND(ROUND(OFFSET($P32,0,AF$13),15-13*ORÇAMENTO!$AF$7)*OFFSET(ORÇAMENTO!$W$15,ROW(AF32)-ROW(AF$15),0),15-13*ORÇAMENTO!$AF$11)),0)</f>
        <v>0</v>
      </c>
      <c r="AG32" s="545">
        <f ca="1">IF(AND($D32="Serviço",AG$12&lt;&gt;0,$H32&gt;0,OR(AUTOEVENTO&lt;&gt;"manual",$M32&lt;&gt;1)), IF(Import.TipoArredondamento&lt;&gt;"TransfereGOV", ROUND(OFFSET($P32,0,AG$13),15-13*ORÇAMENTO!$AF$7)/$H32*OFFSET(ORÇAMENTO!$X$15,ROW(AG32)-ROW(AG$15),0), ROUND(ROUND(OFFSET($P32,0,AG$13),15-13*ORÇAMENTO!$AF$7)*OFFSET(ORÇAMENTO!$W$15,ROW(AG32)-ROW(AG$15),0),15-13*ORÇAMENTO!$AF$11)),0)</f>
        <v>0</v>
      </c>
      <c r="AH32" s="545">
        <f ca="1">IF(AND($D32="Serviço",AH$12&lt;&gt;0,$H32&gt;0,OR(AUTOEVENTO&lt;&gt;"manual",$M32&lt;&gt;1)), IF(Import.TipoArredondamento&lt;&gt;"TransfereGOV", ROUND(OFFSET($P32,0,AH$13),15-13*ORÇAMENTO!$AF$7)/$H32*OFFSET(ORÇAMENTO!$X$15,ROW(AH32)-ROW(AH$15),0), ROUND(ROUND(OFFSET($P32,0,AH$13),15-13*ORÇAMENTO!$AF$7)*OFFSET(ORÇAMENTO!$W$15,ROW(AH32)-ROW(AH$15),0),15-13*ORÇAMENTO!$AF$11)),0)</f>
        <v>0</v>
      </c>
      <c r="AI32" s="545">
        <f ca="1">IF(AND($D32="Serviço",AI$12&lt;&gt;0,$H32&gt;0,OR(AUTOEVENTO&lt;&gt;"manual",$M32&lt;&gt;1)), IF(Import.TipoArredondamento&lt;&gt;"TransfereGOV", ROUND(OFFSET($P32,0,AI$13),15-13*ORÇAMENTO!$AF$7)/$H32*OFFSET(ORÇAMENTO!$X$15,ROW(AI32)-ROW(AI$15),0), ROUND(ROUND(OFFSET($P32,0,AI$13),15-13*ORÇAMENTO!$AF$7)*OFFSET(ORÇAMENTO!$W$15,ROW(AI32)-ROW(AI$15),0),15-13*ORÇAMENTO!$AF$11)),0)</f>
        <v>0</v>
      </c>
      <c r="AJ32" s="545">
        <f ca="1">IF(AND($D32="Serviço",AJ$12&lt;&gt;0,$H32&gt;0,OR(AUTOEVENTO&lt;&gt;"manual",$M32&lt;&gt;1)), IF(Import.TipoArredondamento&lt;&gt;"TransfereGOV", ROUND(OFFSET($P32,0,AJ$13),15-13*ORÇAMENTO!$AF$7)/$H32*OFFSET(ORÇAMENTO!$X$15,ROW(AJ32)-ROW(AJ$15),0), ROUND(ROUND(OFFSET($P32,0,AJ$13),15-13*ORÇAMENTO!$AF$7)*OFFSET(ORÇAMENTO!$W$15,ROW(AJ32)-ROW(AJ$15),0),15-13*ORÇAMENTO!$AF$11)),0)</f>
        <v>0</v>
      </c>
      <c r="AK32" s="546">
        <f ca="1">IF(AND($D32="Serviço",AK$12&lt;&gt;0,$H32&gt;0,OR(AUTOEVENTO&lt;&gt;"manual",$M32&lt;&gt;1)), IF(Import.TipoArredondamento&lt;&gt;"TransfereGOV", ROUND(OFFSET($P32,0,AK$13),15-13*ORÇAMENTO!$AF$7)/$H32*OFFSET(ORÇAMENTO!$X$15,ROW(AK32)-ROW(AK$15),0), ROUND(ROUND(OFFSET($P32,0,AK$13),15-13*ORÇAMENTO!$AF$7)*OFFSET(ORÇAMENTO!$W$15,ROW(AK32)-ROW(AK$15),0),15-13*ORÇAMENTO!$AF$11)),0)</f>
        <v>0</v>
      </c>
      <c r="AM32" s="181">
        <f ca="1">IF($D32&lt;&gt;"Serviço",0,IF(AND(AUTOEVENTO="Manual",$M32=1),0,IF(OFFSET(CRONOPLE!$F$14,$M32,AM$13)="",10^12,OFFSET(CRONOPLE!$F$14,$M32,AM$13))))</f>
        <v>1000000000000</v>
      </c>
      <c r="AN32" s="181">
        <f ca="1">IF($D32&lt;&gt;"Serviço",0,IF(AND(AUTOEVENTO="Manual",$M32=1),0,IF(OFFSET(CRONOPLE!$F$14,$M32,AN$13)="",10^12,OFFSET(CRONOPLE!$F$14,$M32,AN$13))))</f>
        <v>1000000000000</v>
      </c>
      <c r="AO32" s="181">
        <f ca="1">IF($D32&lt;&gt;"Serviço",0,IF(AND(AUTOEVENTO="Manual",$M32=1),0,IF(OFFSET(CRONOPLE!$F$14,$M32,AO$13)="",10^12,OFFSET(CRONOPLE!$F$14,$M32,AO$13))))</f>
        <v>1000000000000</v>
      </c>
      <c r="AP32" s="181">
        <f ca="1">IF($D32&lt;&gt;"Serviço",0,IF(AND(AUTOEVENTO="Manual",$M32=1),0,IF(OFFSET(CRONOPLE!$F$14,$M32,AP$13)="",10^12,OFFSET(CRONOPLE!$F$14,$M32,AP$13))))</f>
        <v>1000000000000</v>
      </c>
      <c r="AQ32" s="181">
        <f ca="1">IF($D32&lt;&gt;"Serviço",0,IF(AND(AUTOEVENTO="Manual",$M32=1),0,IF(OFFSET(CRONOPLE!$F$14,$M32,AQ$13)="",10^12,OFFSET(CRONOPLE!$F$14,$M32,AQ$13))))</f>
        <v>1000000000000</v>
      </c>
      <c r="AR32" s="181">
        <f ca="1">IF($D32&lt;&gt;"Serviço",0,IF(AND(AUTOEVENTO="Manual",$M32=1),0,IF(OFFSET(CRONOPLE!$F$14,$M32,AR$13)="",10^12,OFFSET(CRONOPLE!$F$14,$M32,AR$13))))</f>
        <v>1000000000000</v>
      </c>
      <c r="AS32" s="181">
        <f ca="1">IF($D32&lt;&gt;"Serviço",0,IF(AND(AUTOEVENTO="Manual",$M32=1),0,IF(OFFSET(CRONOPLE!$F$14,$M32,AS$13)="",10^12,OFFSET(CRONOPLE!$F$14,$M32,AS$13))))</f>
        <v>1000000000000</v>
      </c>
      <c r="AT32" s="181">
        <f ca="1">IF($D32&lt;&gt;"Serviço",0,IF(AND(AUTOEVENTO="Manual",$M32=1),0,IF(OFFSET(CRONOPLE!$F$14,$M32,AT$13)="",10^12,OFFSET(CRONOPLE!$F$14,$M32,AT$13))))</f>
        <v>1000000000000</v>
      </c>
      <c r="AU32" s="181">
        <f ca="1">IF($D32&lt;&gt;"Serviço",0,IF(AND(AUTOEVENTO="Manual",$M32=1),0,IF(OFFSET(CRONOPLE!$F$14,$M32,AU$13)="",10^12,OFFSET(CRONOPLE!$F$14,$M32,AU$13))))</f>
        <v>1000000000000</v>
      </c>
      <c r="AV32" s="181">
        <f ca="1">IF($D32&lt;&gt;"Serviço",0,IF(AND(AUTOEVENTO="Manual",$M32=1),0,IF(OFFSET(CRONOPLE!$F$14,$M32,AV$13)="",10^12,OFFSET(CRONOPLE!$F$14,$M32,AV$13))))</f>
        <v>1000000000000</v>
      </c>
      <c r="AX32" s="182">
        <f ca="1">IF($D32&lt;&gt;"Serviço",0,IF(OR(AND(AUTOEVENTO="Manual",$M32=1),$M32&gt;(ROW(PLE.lastrow)-ROW(PLE.firstrow))),0,IF(OFFSET(PLE!$G$14,$M32,AX$13)="",10^12,OFFSET(PLE!$G$14,$M32,AX$13))))</f>
        <v>1000000000000</v>
      </c>
      <c r="AY32" s="182">
        <f ca="1">IF($D32&lt;&gt;"Serviço",0,IF(OR(AND(AUTOEVENTO="Manual",$M32=1),$M32&gt;(ROW(PLE.lastrow)-ROW(PLE.firstrow))),0,IF(OFFSET(PLE!$G$14,$M32,AY$13)="",10^12,OFFSET(PLE!$G$14,$M32,AY$13))))</f>
        <v>1000000000000</v>
      </c>
      <c r="AZ32" s="182">
        <f ca="1">IF($D32&lt;&gt;"Serviço",0,IF(OR(AND(AUTOEVENTO="Manual",$M32=1),$M32&gt;(ROW(PLE.lastrow)-ROW(PLE.firstrow))),0,IF(OFFSET(PLE!$G$14,$M32,AZ$13)="",10^12,OFFSET(PLE!$G$14,$M32,AZ$13))))</f>
        <v>1000000000000</v>
      </c>
      <c r="BA32" s="182">
        <f ca="1">IF($D32&lt;&gt;"Serviço",0,IF(OR(AND(AUTOEVENTO="Manual",$M32=1),$M32&gt;(ROW(PLE.lastrow)-ROW(PLE.firstrow))),0,IF(OFFSET(PLE!$G$14,$M32,BA$13)="",10^12,OFFSET(PLE!$G$14,$M32,BA$13))))</f>
        <v>1000000000000</v>
      </c>
      <c r="BB32" s="182">
        <f ca="1">IF($D32&lt;&gt;"Serviço",0,IF(OR(AND(AUTOEVENTO="Manual",$M32=1),$M32&gt;(ROW(PLE.lastrow)-ROW(PLE.firstrow))),0,IF(OFFSET(PLE!$G$14,$M32,BB$13)="",10^12,OFFSET(PLE!$G$14,$M32,BB$13))))</f>
        <v>1000000000000</v>
      </c>
      <c r="BC32" s="182">
        <f ca="1">IF($D32&lt;&gt;"Serviço",0,IF(OR(AND(AUTOEVENTO="Manual",$M32=1),$M32&gt;(ROW(PLE.lastrow)-ROW(PLE.firstrow))),0,IF(OFFSET(PLE!$G$14,$M32,BC$13)="",10^12,OFFSET(PLE!$G$14,$M32,BC$13))))</f>
        <v>1000000000000</v>
      </c>
      <c r="BD32" s="182">
        <f ca="1">IF($D32&lt;&gt;"Serviço",0,IF(OR(AND(AUTOEVENTO="Manual",$M32=1),$M32&gt;(ROW(PLE.lastrow)-ROW(PLE.firstrow))),0,IF(OFFSET(PLE!$G$14,$M32,BD$13)="",10^12,OFFSET(PLE!$G$14,$M32,BD$13))))</f>
        <v>1000000000000</v>
      </c>
      <c r="BE32" s="182">
        <f ca="1">IF($D32&lt;&gt;"Serviço",0,IF(OR(AND(AUTOEVENTO="Manual",$M32=1),$M32&gt;(ROW(PLE.lastrow)-ROW(PLE.firstrow))),0,IF(OFFSET(PLE!$G$14,$M32,BE$13)="",10^12,OFFSET(PLE!$G$14,$M32,BE$13))))</f>
        <v>1000000000000</v>
      </c>
      <c r="BF32" s="182">
        <f ca="1">IF($D32&lt;&gt;"Serviço",0,IF(OR(AND(AUTOEVENTO="Manual",$M32=1),$M32&gt;(ROW(PLE.lastrow)-ROW(PLE.firstrow))),0,IF(OFFSET(PLE!$G$14,$M32,BF$13)="",10^12,OFFSET(PLE!$G$14,$M32,BF$13))))</f>
        <v>1000000000000</v>
      </c>
      <c r="BG32" s="18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25.5" x14ac:dyDescent="0.2">
      <c r="A33" s="7" t="str">
        <f ca="1">IF(AUTOEVENTO="Manual",IF(K33&lt;&gt;"",MIN(VALUE(LEFT(K33,FIND(".",K33)-1)),COUNTA(EVENTOS.Lista)),0),IF(OR($B33&gt;AUTOEVENTO,$B33="S",$B33=0),SUBSTITUTE(OFFSET($A33,-1,0),IF($D33="Serviço",".",""),""),ROW(A33)-ROW($A$15)&amp;"."))</f>
        <v>10</v>
      </c>
      <c r="B33" s="7" t="str">
        <f ca="1">OFFSET(ORÇAMENTO!C$15,ROW(B33)-ROW(B$15),0)</f>
        <v>S</v>
      </c>
      <c r="C33" s="7" t="str">
        <f ca="1">OFFSET(ORÇAMENTO!L$15,ROW(C33)-ROW(C$15),0)</f>
        <v>F</v>
      </c>
      <c r="D33" s="118" t="str">
        <f ca="1">OFFSET(ORÇAMENTO!N$15,ROW(D33)-ROW(D$15),0)</f>
        <v>Serviço</v>
      </c>
      <c r="E33" s="119" t="str">
        <f ca="1">OFFSET(ORÇAMENTO!O$15,ROW(E33)-ROW(E$15),0)</f>
        <v>1.3.8.</v>
      </c>
      <c r="F33" s="172" t="str">
        <f ca="1">OFFSET(ORÇAMENTO!R$15,ROW(F33)-ROW(F$15),0)</f>
        <v>SARJETA DE CONCRETO MOLDADA IN LOCO, CONCRETO USINADO 30X5 CM</v>
      </c>
      <c r="G33" s="173" t="str">
        <f ca="1">IF($D33&lt;&gt;"Serviço","",OFFSET(ORÇAMENTO!S$15,ROW(G33)-ROW(G$15),0))</f>
        <v>M</v>
      </c>
      <c r="H33" s="124">
        <f ca="1">IF($D33&lt;&gt;"Serviço",0,IF(ACOMPANHAMENTO="BM",ROUND(OFFSET(ORÇAMENTO!AJ$15,ROW(H33)-ROW(H$15),0),15-13*ORÇAMENTO!$AF$7),SUMPRODUCT(($Q$12:$AA$12&lt;&gt;"")*ROUND($Q33:$AA33,15-13*ORÇAMENTO!$AF$7))))</f>
        <v>828</v>
      </c>
      <c r="I33" s="561"/>
      <c r="K33" s="174"/>
      <c r="L33" s="175" t="s">
        <v>255</v>
      </c>
      <c r="M33" s="176">
        <f ca="1">IF($D33&lt;&gt;"Serviço","",IF(AUTOEVENTO="manual",$A33,IF(ISERROR(MATCH($A33,$A$15:OFFSET($A33,-1,0),0)),MAX($M$15:OFFSET(M33,-1,0))+1,INDEX($M$15:OFFSET(M33,-1,0),MATCH($A33,$A$15:OFFSET($A33,-1,0),0)))))</f>
        <v>4</v>
      </c>
      <c r="N33" s="177" t="str">
        <f ca="1">IF($D33&lt;&gt;"Serviço","",IF(AUTOEVENTO="Manual",IF($A33=0,"&lt;-- defina o número do agrupador",OFFSET(EVENTOS!$D$14,$A33,0)),OFFSET($F$15,$A33,0)))</f>
        <v>DRENAGEM</v>
      </c>
      <c r="O33" s="178"/>
      <c r="Q33" s="178"/>
      <c r="R33" s="179"/>
      <c r="S33" s="179"/>
      <c r="T33" s="179"/>
      <c r="U33" s="179"/>
      <c r="V33" s="179"/>
      <c r="W33" s="179"/>
      <c r="X33" s="179"/>
      <c r="Y33" s="179"/>
      <c r="Z33" s="180"/>
      <c r="AB33" s="544">
        <f ca="1">IF(AND($D33="Serviço",AB$12&lt;&gt;0,$H33&gt;0,OR(AUTOEVENTO&lt;&gt;"manual",$M33&lt;&gt;1)), IF(Import.TipoArredondamento&lt;&gt;"TransfereGOV", ROUND(OFFSET($P33,0,AB$13),15-13*ORÇAMENTO!$AF$7)/$H33*OFFSET(ORÇAMENTO!$X$15,ROW(AB33)-ROW(AB$15),0), ROUND(ROUND(OFFSET($P33,0,AB$13),15-13*ORÇAMENTO!$AF$7)*OFFSET(ORÇAMENTO!$W$15,ROW(AB33)-ROW(AB$15),0),15-13*ORÇAMENTO!$AF$11)),0)</f>
        <v>0</v>
      </c>
      <c r="AC33" s="545">
        <f ca="1">IF(AND($D33="Serviço",AC$12&lt;&gt;0,$H33&gt;0,OR(AUTOEVENTO&lt;&gt;"manual",$M33&lt;&gt;1)), IF(Import.TipoArredondamento&lt;&gt;"TransfereGOV", ROUND(OFFSET($P33,0,AC$13),15-13*ORÇAMENTO!$AF$7)/$H33*OFFSET(ORÇAMENTO!$X$15,ROW(AC33)-ROW(AC$15),0), ROUND(ROUND(OFFSET($P33,0,AC$13),15-13*ORÇAMENTO!$AF$7)*OFFSET(ORÇAMENTO!$W$15,ROW(AC33)-ROW(AC$15),0),15-13*ORÇAMENTO!$AF$11)),0)</f>
        <v>0</v>
      </c>
      <c r="AD33" s="545">
        <f ca="1">IF(AND($D33="Serviço",AD$12&lt;&gt;0,$H33&gt;0,OR(AUTOEVENTO&lt;&gt;"manual",$M33&lt;&gt;1)), IF(Import.TipoArredondamento&lt;&gt;"TransfereGOV", ROUND(OFFSET($P33,0,AD$13),15-13*ORÇAMENTO!$AF$7)/$H33*OFFSET(ORÇAMENTO!$X$15,ROW(AD33)-ROW(AD$15),0), ROUND(ROUND(OFFSET($P33,0,AD$13),15-13*ORÇAMENTO!$AF$7)*OFFSET(ORÇAMENTO!$W$15,ROW(AD33)-ROW(AD$15),0),15-13*ORÇAMENTO!$AF$11)),0)</f>
        <v>0</v>
      </c>
      <c r="AE33" s="545">
        <f ca="1">IF(AND($D33="Serviço",AE$12&lt;&gt;0,$H33&gt;0,OR(AUTOEVENTO&lt;&gt;"manual",$M33&lt;&gt;1)), IF(Import.TipoArredondamento&lt;&gt;"TransfereGOV", ROUND(OFFSET($P33,0,AE$13),15-13*ORÇAMENTO!$AF$7)/$H33*OFFSET(ORÇAMENTO!$X$15,ROW(AE33)-ROW(AE$15),0), ROUND(ROUND(OFFSET($P33,0,AE$13),15-13*ORÇAMENTO!$AF$7)*OFFSET(ORÇAMENTO!$W$15,ROW(AE33)-ROW(AE$15),0),15-13*ORÇAMENTO!$AF$11)),0)</f>
        <v>0</v>
      </c>
      <c r="AF33" s="545">
        <f ca="1">IF(AND($D33="Serviço",AF$12&lt;&gt;0,$H33&gt;0,OR(AUTOEVENTO&lt;&gt;"manual",$M33&lt;&gt;1)), IF(Import.TipoArredondamento&lt;&gt;"TransfereGOV", ROUND(OFFSET($P33,0,AF$13),15-13*ORÇAMENTO!$AF$7)/$H33*OFFSET(ORÇAMENTO!$X$15,ROW(AF33)-ROW(AF$15),0), ROUND(ROUND(OFFSET($P33,0,AF$13),15-13*ORÇAMENTO!$AF$7)*OFFSET(ORÇAMENTO!$W$15,ROW(AF33)-ROW(AF$15),0),15-13*ORÇAMENTO!$AF$11)),0)</f>
        <v>0</v>
      </c>
      <c r="AG33" s="545">
        <f ca="1">IF(AND($D33="Serviço",AG$12&lt;&gt;0,$H33&gt;0,OR(AUTOEVENTO&lt;&gt;"manual",$M33&lt;&gt;1)), IF(Import.TipoArredondamento&lt;&gt;"TransfereGOV", ROUND(OFFSET($P33,0,AG$13),15-13*ORÇAMENTO!$AF$7)/$H33*OFFSET(ORÇAMENTO!$X$15,ROW(AG33)-ROW(AG$15),0), ROUND(ROUND(OFFSET($P33,0,AG$13),15-13*ORÇAMENTO!$AF$7)*OFFSET(ORÇAMENTO!$W$15,ROW(AG33)-ROW(AG$15),0),15-13*ORÇAMENTO!$AF$11)),0)</f>
        <v>0</v>
      </c>
      <c r="AH33" s="545">
        <f ca="1">IF(AND($D33="Serviço",AH$12&lt;&gt;0,$H33&gt;0,OR(AUTOEVENTO&lt;&gt;"manual",$M33&lt;&gt;1)), IF(Import.TipoArredondamento&lt;&gt;"TransfereGOV", ROUND(OFFSET($P33,0,AH$13),15-13*ORÇAMENTO!$AF$7)/$H33*OFFSET(ORÇAMENTO!$X$15,ROW(AH33)-ROW(AH$15),0), ROUND(ROUND(OFFSET($P33,0,AH$13),15-13*ORÇAMENTO!$AF$7)*OFFSET(ORÇAMENTO!$W$15,ROW(AH33)-ROW(AH$15),0),15-13*ORÇAMENTO!$AF$11)),0)</f>
        <v>0</v>
      </c>
      <c r="AI33" s="545">
        <f ca="1">IF(AND($D33="Serviço",AI$12&lt;&gt;0,$H33&gt;0,OR(AUTOEVENTO&lt;&gt;"manual",$M33&lt;&gt;1)), IF(Import.TipoArredondamento&lt;&gt;"TransfereGOV", ROUND(OFFSET($P33,0,AI$13),15-13*ORÇAMENTO!$AF$7)/$H33*OFFSET(ORÇAMENTO!$X$15,ROW(AI33)-ROW(AI$15),0), ROUND(ROUND(OFFSET($P33,0,AI$13),15-13*ORÇAMENTO!$AF$7)*OFFSET(ORÇAMENTO!$W$15,ROW(AI33)-ROW(AI$15),0),15-13*ORÇAMENTO!$AF$11)),0)</f>
        <v>0</v>
      </c>
      <c r="AJ33" s="545">
        <f ca="1">IF(AND($D33="Serviço",AJ$12&lt;&gt;0,$H33&gt;0,OR(AUTOEVENTO&lt;&gt;"manual",$M33&lt;&gt;1)), IF(Import.TipoArredondamento&lt;&gt;"TransfereGOV", ROUND(OFFSET($P33,0,AJ$13),15-13*ORÇAMENTO!$AF$7)/$H33*OFFSET(ORÇAMENTO!$X$15,ROW(AJ33)-ROW(AJ$15),0), ROUND(ROUND(OFFSET($P33,0,AJ$13),15-13*ORÇAMENTO!$AF$7)*OFFSET(ORÇAMENTO!$W$15,ROW(AJ33)-ROW(AJ$15),0),15-13*ORÇAMENTO!$AF$11)),0)</f>
        <v>0</v>
      </c>
      <c r="AK33" s="546">
        <f ca="1">IF(AND($D33="Serviço",AK$12&lt;&gt;0,$H33&gt;0,OR(AUTOEVENTO&lt;&gt;"manual",$M33&lt;&gt;1)), IF(Import.TipoArredondamento&lt;&gt;"TransfereGOV", ROUND(OFFSET($P33,0,AK$13),15-13*ORÇAMENTO!$AF$7)/$H33*OFFSET(ORÇAMENTO!$X$15,ROW(AK33)-ROW(AK$15),0), ROUND(ROUND(OFFSET($P33,0,AK$13),15-13*ORÇAMENTO!$AF$7)*OFFSET(ORÇAMENTO!$W$15,ROW(AK33)-ROW(AK$15),0),15-13*ORÇAMENTO!$AF$11)),0)</f>
        <v>0</v>
      </c>
      <c r="AM33" s="181">
        <f ca="1">IF($D33&lt;&gt;"Serviço",0,IF(AND(AUTOEVENTO="Manual",$M33=1),0,IF(OFFSET(CRONOPLE!$F$14,$M33,AM$13)="",10^12,OFFSET(CRONOPLE!$F$14,$M33,AM$13))))</f>
        <v>1000000000000</v>
      </c>
      <c r="AN33" s="181">
        <f ca="1">IF($D33&lt;&gt;"Serviço",0,IF(AND(AUTOEVENTO="Manual",$M33=1),0,IF(OFFSET(CRONOPLE!$F$14,$M33,AN$13)="",10^12,OFFSET(CRONOPLE!$F$14,$M33,AN$13))))</f>
        <v>1000000000000</v>
      </c>
      <c r="AO33" s="181">
        <f ca="1">IF($D33&lt;&gt;"Serviço",0,IF(AND(AUTOEVENTO="Manual",$M33=1),0,IF(OFFSET(CRONOPLE!$F$14,$M33,AO$13)="",10^12,OFFSET(CRONOPLE!$F$14,$M33,AO$13))))</f>
        <v>1000000000000</v>
      </c>
      <c r="AP33" s="181">
        <f ca="1">IF($D33&lt;&gt;"Serviço",0,IF(AND(AUTOEVENTO="Manual",$M33=1),0,IF(OFFSET(CRONOPLE!$F$14,$M33,AP$13)="",10^12,OFFSET(CRONOPLE!$F$14,$M33,AP$13))))</f>
        <v>1000000000000</v>
      </c>
      <c r="AQ33" s="181">
        <f ca="1">IF($D33&lt;&gt;"Serviço",0,IF(AND(AUTOEVENTO="Manual",$M33=1),0,IF(OFFSET(CRONOPLE!$F$14,$M33,AQ$13)="",10^12,OFFSET(CRONOPLE!$F$14,$M33,AQ$13))))</f>
        <v>1000000000000</v>
      </c>
      <c r="AR33" s="181">
        <f ca="1">IF($D33&lt;&gt;"Serviço",0,IF(AND(AUTOEVENTO="Manual",$M33=1),0,IF(OFFSET(CRONOPLE!$F$14,$M33,AR$13)="",10^12,OFFSET(CRONOPLE!$F$14,$M33,AR$13))))</f>
        <v>1000000000000</v>
      </c>
      <c r="AS33" s="181">
        <f ca="1">IF($D33&lt;&gt;"Serviço",0,IF(AND(AUTOEVENTO="Manual",$M33=1),0,IF(OFFSET(CRONOPLE!$F$14,$M33,AS$13)="",10^12,OFFSET(CRONOPLE!$F$14,$M33,AS$13))))</f>
        <v>1000000000000</v>
      </c>
      <c r="AT33" s="181">
        <f ca="1">IF($D33&lt;&gt;"Serviço",0,IF(AND(AUTOEVENTO="Manual",$M33=1),0,IF(OFFSET(CRONOPLE!$F$14,$M33,AT$13)="",10^12,OFFSET(CRONOPLE!$F$14,$M33,AT$13))))</f>
        <v>1000000000000</v>
      </c>
      <c r="AU33" s="181">
        <f ca="1">IF($D33&lt;&gt;"Serviço",0,IF(AND(AUTOEVENTO="Manual",$M33=1),0,IF(OFFSET(CRONOPLE!$F$14,$M33,AU$13)="",10^12,OFFSET(CRONOPLE!$F$14,$M33,AU$13))))</f>
        <v>1000000000000</v>
      </c>
      <c r="AV33" s="181">
        <f ca="1">IF($D33&lt;&gt;"Serviço",0,IF(AND(AUTOEVENTO="Manual",$M33=1),0,IF(OFFSET(CRONOPLE!$F$14,$M33,AV$13)="",10^12,OFFSET(CRONOPLE!$F$14,$M33,AV$13))))</f>
        <v>1000000000000</v>
      </c>
      <c r="AX33" s="182">
        <f ca="1">IF($D33&lt;&gt;"Serviço",0,IF(OR(AND(AUTOEVENTO="Manual",$M33=1),$M33&gt;(ROW(PLE.lastrow)-ROW(PLE.firstrow))),0,IF(OFFSET(PLE!$G$14,$M33,AX$13)="",10^12,OFFSET(PLE!$G$14,$M33,AX$13))))</f>
        <v>1000000000000</v>
      </c>
      <c r="AY33" s="182">
        <f ca="1">IF($D33&lt;&gt;"Serviço",0,IF(OR(AND(AUTOEVENTO="Manual",$M33=1),$M33&gt;(ROW(PLE.lastrow)-ROW(PLE.firstrow))),0,IF(OFFSET(PLE!$G$14,$M33,AY$13)="",10^12,OFFSET(PLE!$G$14,$M33,AY$13))))</f>
        <v>1000000000000</v>
      </c>
      <c r="AZ33" s="182">
        <f ca="1">IF($D33&lt;&gt;"Serviço",0,IF(OR(AND(AUTOEVENTO="Manual",$M33=1),$M33&gt;(ROW(PLE.lastrow)-ROW(PLE.firstrow))),0,IF(OFFSET(PLE!$G$14,$M33,AZ$13)="",10^12,OFFSET(PLE!$G$14,$M33,AZ$13))))</f>
        <v>1000000000000</v>
      </c>
      <c r="BA33" s="182">
        <f ca="1">IF($D33&lt;&gt;"Serviço",0,IF(OR(AND(AUTOEVENTO="Manual",$M33=1),$M33&gt;(ROW(PLE.lastrow)-ROW(PLE.firstrow))),0,IF(OFFSET(PLE!$G$14,$M33,BA$13)="",10^12,OFFSET(PLE!$G$14,$M33,BA$13))))</f>
        <v>1000000000000</v>
      </c>
      <c r="BB33" s="182">
        <f ca="1">IF($D33&lt;&gt;"Serviço",0,IF(OR(AND(AUTOEVENTO="Manual",$M33=1),$M33&gt;(ROW(PLE.lastrow)-ROW(PLE.firstrow))),0,IF(OFFSET(PLE!$G$14,$M33,BB$13)="",10^12,OFFSET(PLE!$G$14,$M33,BB$13))))</f>
        <v>1000000000000</v>
      </c>
      <c r="BC33" s="182">
        <f ca="1">IF($D33&lt;&gt;"Serviço",0,IF(OR(AND(AUTOEVENTO="Manual",$M33=1),$M33&gt;(ROW(PLE.lastrow)-ROW(PLE.firstrow))),0,IF(OFFSET(PLE!$G$14,$M33,BC$13)="",10^12,OFFSET(PLE!$G$14,$M33,BC$13))))</f>
        <v>1000000000000</v>
      </c>
      <c r="BD33" s="182">
        <f ca="1">IF($D33&lt;&gt;"Serviço",0,IF(OR(AND(AUTOEVENTO="Manual",$M33=1),$M33&gt;(ROW(PLE.lastrow)-ROW(PLE.firstrow))),0,IF(OFFSET(PLE!$G$14,$M33,BD$13)="",10^12,OFFSET(PLE!$G$14,$M33,BD$13))))</f>
        <v>1000000000000</v>
      </c>
      <c r="BE33" s="182">
        <f ca="1">IF($D33&lt;&gt;"Serviço",0,IF(OR(AND(AUTOEVENTO="Manual",$M33=1),$M33&gt;(ROW(PLE.lastrow)-ROW(PLE.firstrow))),0,IF(OFFSET(PLE!$G$14,$M33,BE$13)="",10^12,OFFSET(PLE!$G$14,$M33,BE$13))))</f>
        <v>1000000000000</v>
      </c>
      <c r="BF33" s="182">
        <f ca="1">IF($D33&lt;&gt;"Serviço",0,IF(OR(AND(AUTOEVENTO="Manual",$M33=1),$M33&gt;(ROW(PLE.lastrow)-ROW(PLE.firstrow))),0,IF(OFFSET(PLE!$G$14,$M33,BF$13)="",10^12,OFFSET(PLE!$G$14,$M33,BF$13))))</f>
        <v>1000000000000</v>
      </c>
      <c r="BG33" s="182">
        <f ca="1">IF($D33&lt;&gt;"Serviço",0,IF(OR(AND(AUTOEVENTO="Manual",$M33=1),$M33&gt;(ROW(PLE.lastrow)-ROW(PLE.firstrow))),0,IF(OFFSET(PLE!$G$14,$M33,BG$13)="",10^12,OFFSET(PLE!$G$14,$M33,BG$13))))</f>
        <v>1000000000000</v>
      </c>
    </row>
    <row r="34" spans="1:59" ht="12.75" x14ac:dyDescent="0.2">
      <c r="A34" s="7" t="str">
        <f t="shared" ca="1" si="8"/>
        <v>19.</v>
      </c>
      <c r="B34" s="7">
        <f ca="1">OFFSET(ORÇAMENTO!C$15,ROW(B34)-ROW(B$15),0)</f>
        <v>2</v>
      </c>
      <c r="C34" s="7" t="str">
        <f ca="1">OFFSET(ORÇAMENTO!L$15,ROW(C34)-ROW(C$15),0)</f>
        <v>F</v>
      </c>
      <c r="D34" s="118" t="str">
        <f ca="1">OFFSET(ORÇAMENTO!N$15,ROW(D34)-ROW(D$15),0)</f>
        <v>Nível 2</v>
      </c>
      <c r="E34" s="119" t="str">
        <f ca="1">OFFSET(ORÇAMENTO!O$15,ROW(E34)-ROW(E$15),0)</f>
        <v>1.4.</v>
      </c>
      <c r="F34" s="172" t="str">
        <f ca="1">OFFSET(ORÇAMENTO!R$15,ROW(F34)-ROW(F$15),0)</f>
        <v>PAVIMENTAÇÃO</v>
      </c>
      <c r="G34" s="173" t="str">
        <f ca="1">IF($D34&lt;&gt;"Serviço","",OFFSET(ORÇAMENTO!S$15,ROW(G34)-ROW(G$15),0))</f>
        <v/>
      </c>
      <c r="H34" s="124">
        <f ca="1">IF($D34&lt;&gt;"Serviço",0,IF(ACOMPANHAMENTO="BM",ROUND(OFFSET(ORÇAMENTO!AJ$15,ROW(H34)-ROW(H$15),0),15-13*ORÇAMENTO!$AF$7),SUMPRODUCT(($Q$12:$AA$12&lt;&gt;"")*ROUND($Q34:$AA34,15-13*ORÇAMENTO!$AF$7))))</f>
        <v>0</v>
      </c>
      <c r="I34" s="561"/>
      <c r="K34" s="174"/>
      <c r="L34" s="175" t="s">
        <v>255</v>
      </c>
      <c r="M34" s="176" t="str">
        <f ca="1">IF($D34&lt;&gt;"Serviço","",IF(AUTOEVENTO="manual",$A34,IF(ISERROR(MATCH($A34,$A$15:OFFSET($A34,-1,0),0)),MAX($M$15:OFFSET(M34,-1,0))+1,INDEX($M$15:OFFSET(M34,-1,0),MATCH($A34,$A$15:OFFSET($A34,-1,0),0)))))</f>
        <v/>
      </c>
      <c r="N34" s="177" t="str">
        <f ca="1">IF($D34&lt;&gt;"Serviço","",IF(AUTOEVENTO="Manual",IF($A34=0,"&lt;-- defina o número do agrupador",OFFSET(EVENTOS!$D$14,$A34,0)),OFFSET($F$15,$A34,0)))</f>
        <v/>
      </c>
      <c r="O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B34" s="544">
        <f ca="1">IF(AND($D34="Serviço",AB$12&lt;&gt;0,$H34&gt;0,OR(AUTOEVENTO&lt;&gt;"manual",$M34&lt;&gt;1)), IF(Import.TipoArredondamento&lt;&gt;"TransfereGOV", ROUND(OFFSET($P34,0,AB$13),15-13*ORÇAMENTO!$AF$7)/$H34*OFFSET(ORÇAMENTO!$X$15,ROW(AB34)-ROW(AB$15),0), ROUND(ROUND(OFFSET($P34,0,AB$13),15-13*ORÇAMENTO!$AF$7)*OFFSET(ORÇAMENTO!$W$15,ROW(AB34)-ROW(AB$15),0),15-13*ORÇAMENTO!$AF$11)),0)</f>
        <v>0</v>
      </c>
      <c r="AC34" s="545">
        <f ca="1">IF(AND($D34="Serviço",AC$12&lt;&gt;0,$H34&gt;0,OR(AUTOEVENTO&lt;&gt;"manual",$M34&lt;&gt;1)), IF(Import.TipoArredondamento&lt;&gt;"TransfereGOV", ROUND(OFFSET($P34,0,AC$13),15-13*ORÇAMENTO!$AF$7)/$H34*OFFSET(ORÇAMENTO!$X$15,ROW(AC34)-ROW(AC$15),0), ROUND(ROUND(OFFSET($P34,0,AC$13),15-13*ORÇAMENTO!$AF$7)*OFFSET(ORÇAMENTO!$W$15,ROW(AC34)-ROW(AC$15),0),15-13*ORÇAMENTO!$AF$11)),0)</f>
        <v>0</v>
      </c>
      <c r="AD34" s="545">
        <f ca="1">IF(AND($D34="Serviço",AD$12&lt;&gt;0,$H34&gt;0,OR(AUTOEVENTO&lt;&gt;"manual",$M34&lt;&gt;1)), IF(Import.TipoArredondamento&lt;&gt;"TransfereGOV", ROUND(OFFSET($P34,0,AD$13),15-13*ORÇAMENTO!$AF$7)/$H34*OFFSET(ORÇAMENTO!$X$15,ROW(AD34)-ROW(AD$15),0), ROUND(ROUND(OFFSET($P34,0,AD$13),15-13*ORÇAMENTO!$AF$7)*OFFSET(ORÇAMENTO!$W$15,ROW(AD34)-ROW(AD$15),0),15-13*ORÇAMENTO!$AF$11)),0)</f>
        <v>0</v>
      </c>
      <c r="AE34" s="545">
        <f ca="1">IF(AND($D34="Serviço",AE$12&lt;&gt;0,$H34&gt;0,OR(AUTOEVENTO&lt;&gt;"manual",$M34&lt;&gt;1)), IF(Import.TipoArredondamento&lt;&gt;"TransfereGOV", ROUND(OFFSET($P34,0,AE$13),15-13*ORÇAMENTO!$AF$7)/$H34*OFFSET(ORÇAMENTO!$X$15,ROW(AE34)-ROW(AE$15),0), ROUND(ROUND(OFFSET($P34,0,AE$13),15-13*ORÇAMENTO!$AF$7)*OFFSET(ORÇAMENTO!$W$15,ROW(AE34)-ROW(AE$15),0),15-13*ORÇAMENTO!$AF$11)),0)</f>
        <v>0</v>
      </c>
      <c r="AF34" s="545">
        <f ca="1">IF(AND($D34="Serviço",AF$12&lt;&gt;0,$H34&gt;0,OR(AUTOEVENTO&lt;&gt;"manual",$M34&lt;&gt;1)), IF(Import.TipoArredondamento&lt;&gt;"TransfereGOV", ROUND(OFFSET($P34,0,AF$13),15-13*ORÇAMENTO!$AF$7)/$H34*OFFSET(ORÇAMENTO!$X$15,ROW(AF34)-ROW(AF$15),0), ROUND(ROUND(OFFSET($P34,0,AF$13),15-13*ORÇAMENTO!$AF$7)*OFFSET(ORÇAMENTO!$W$15,ROW(AF34)-ROW(AF$15),0),15-13*ORÇAMENTO!$AF$11)),0)</f>
        <v>0</v>
      </c>
      <c r="AG34" s="545">
        <f ca="1">IF(AND($D34="Serviço",AG$12&lt;&gt;0,$H34&gt;0,OR(AUTOEVENTO&lt;&gt;"manual",$M34&lt;&gt;1)), IF(Import.TipoArredondamento&lt;&gt;"TransfereGOV", ROUND(OFFSET($P34,0,AG$13),15-13*ORÇAMENTO!$AF$7)/$H34*OFFSET(ORÇAMENTO!$X$15,ROW(AG34)-ROW(AG$15),0), ROUND(ROUND(OFFSET($P34,0,AG$13),15-13*ORÇAMENTO!$AF$7)*OFFSET(ORÇAMENTO!$W$15,ROW(AG34)-ROW(AG$15),0),15-13*ORÇAMENTO!$AF$11)),0)</f>
        <v>0</v>
      </c>
      <c r="AH34" s="545">
        <f ca="1">IF(AND($D34="Serviço",AH$12&lt;&gt;0,$H34&gt;0,OR(AUTOEVENTO&lt;&gt;"manual",$M34&lt;&gt;1)), IF(Import.TipoArredondamento&lt;&gt;"TransfereGOV", ROUND(OFFSET($P34,0,AH$13),15-13*ORÇAMENTO!$AF$7)/$H34*OFFSET(ORÇAMENTO!$X$15,ROW(AH34)-ROW(AH$15),0), ROUND(ROUND(OFFSET($P34,0,AH$13),15-13*ORÇAMENTO!$AF$7)*OFFSET(ORÇAMENTO!$W$15,ROW(AH34)-ROW(AH$15),0),15-13*ORÇAMENTO!$AF$11)),0)</f>
        <v>0</v>
      </c>
      <c r="AI34" s="545">
        <f ca="1">IF(AND($D34="Serviço",AI$12&lt;&gt;0,$H34&gt;0,OR(AUTOEVENTO&lt;&gt;"manual",$M34&lt;&gt;1)), IF(Import.TipoArredondamento&lt;&gt;"TransfereGOV", ROUND(OFFSET($P34,0,AI$13),15-13*ORÇAMENTO!$AF$7)/$H34*OFFSET(ORÇAMENTO!$X$15,ROW(AI34)-ROW(AI$15),0), ROUND(ROUND(OFFSET($P34,0,AI$13),15-13*ORÇAMENTO!$AF$7)*OFFSET(ORÇAMENTO!$W$15,ROW(AI34)-ROW(AI$15),0),15-13*ORÇAMENTO!$AF$11)),0)</f>
        <v>0</v>
      </c>
      <c r="AJ34" s="545">
        <f ca="1">IF(AND($D34="Serviço",AJ$12&lt;&gt;0,$H34&gt;0,OR(AUTOEVENTO&lt;&gt;"manual",$M34&lt;&gt;1)), IF(Import.TipoArredondamento&lt;&gt;"TransfereGOV", ROUND(OFFSET($P34,0,AJ$13),15-13*ORÇAMENTO!$AF$7)/$H34*OFFSET(ORÇAMENTO!$X$15,ROW(AJ34)-ROW(AJ$15),0), ROUND(ROUND(OFFSET($P34,0,AJ$13),15-13*ORÇAMENTO!$AF$7)*OFFSET(ORÇAMENTO!$W$15,ROW(AJ34)-ROW(AJ$15),0),15-13*ORÇAMENTO!$AF$11)),0)</f>
        <v>0</v>
      </c>
      <c r="AK34" s="546">
        <f ca="1">IF(AND($D34="Serviço",AK$12&lt;&gt;0,$H34&gt;0,OR(AUTOEVENTO&lt;&gt;"manual",$M34&lt;&gt;1)), IF(Import.TipoArredondamento&lt;&gt;"TransfereGOV", ROUND(OFFSET($P34,0,AK$13),15-13*ORÇAMENTO!$AF$7)/$H34*OFFSET(ORÇAMENTO!$X$15,ROW(AK34)-ROW(AK$15),0), ROUND(ROUND(OFFSET($P34,0,AK$13),15-13*ORÇAMENTO!$AF$7)*OFFSET(ORÇAMENTO!$W$15,ROW(AK34)-ROW(AK$15),0),15-13*ORÇAMENTO!$AF$11)),0)</f>
        <v>0</v>
      </c>
      <c r="AM34" s="181">
        <f ca="1">IF($D34&lt;&gt;"Serviço",0,IF(AND(AUTOEVENTO="Manual",$M34=1),0,IF(OFFSET(CRONOPLE!$F$14,$M34,AM$13)="",10^12,OFFSET(CRONOPLE!$F$14,$M34,AM$13))))</f>
        <v>0</v>
      </c>
      <c r="AN34" s="181">
        <f ca="1">IF($D34&lt;&gt;"Serviço",0,IF(AND(AUTOEVENTO="Manual",$M34=1),0,IF(OFFSET(CRONOPLE!$F$14,$M34,AN$13)="",10^12,OFFSET(CRONOPLE!$F$14,$M34,AN$13))))</f>
        <v>0</v>
      </c>
      <c r="AO34" s="181">
        <f ca="1">IF($D34&lt;&gt;"Serviço",0,IF(AND(AUTOEVENTO="Manual",$M34=1),0,IF(OFFSET(CRONOPLE!$F$14,$M34,AO$13)="",10^12,OFFSET(CRONOPLE!$F$14,$M34,AO$13))))</f>
        <v>0</v>
      </c>
      <c r="AP34" s="181">
        <f ca="1">IF($D34&lt;&gt;"Serviço",0,IF(AND(AUTOEVENTO="Manual",$M34=1),0,IF(OFFSET(CRONOPLE!$F$14,$M34,AP$13)="",10^12,OFFSET(CRONOPLE!$F$14,$M34,AP$13))))</f>
        <v>0</v>
      </c>
      <c r="AQ34" s="181">
        <f ca="1">IF($D34&lt;&gt;"Serviço",0,IF(AND(AUTOEVENTO="Manual",$M34=1),0,IF(OFFSET(CRONOPLE!$F$14,$M34,AQ$13)="",10^12,OFFSET(CRONOPLE!$F$14,$M34,AQ$13))))</f>
        <v>0</v>
      </c>
      <c r="AR34" s="181">
        <f ca="1">IF($D34&lt;&gt;"Serviço",0,IF(AND(AUTOEVENTO="Manual",$M34=1),0,IF(OFFSET(CRONOPLE!$F$14,$M34,AR$13)="",10^12,OFFSET(CRONOPLE!$F$14,$M34,AR$13))))</f>
        <v>0</v>
      </c>
      <c r="AS34" s="181">
        <f ca="1">IF($D34&lt;&gt;"Serviço",0,IF(AND(AUTOEVENTO="Manual",$M34=1),0,IF(OFFSET(CRONOPLE!$F$14,$M34,AS$13)="",10^12,OFFSET(CRONOPLE!$F$14,$M34,AS$13))))</f>
        <v>0</v>
      </c>
      <c r="AT34" s="181">
        <f ca="1">IF($D34&lt;&gt;"Serviço",0,IF(AND(AUTOEVENTO="Manual",$M34=1),0,IF(OFFSET(CRONOPLE!$F$14,$M34,AT$13)="",10^12,OFFSET(CRONOPLE!$F$14,$M34,AT$13))))</f>
        <v>0</v>
      </c>
      <c r="AU34" s="181">
        <f ca="1">IF($D34&lt;&gt;"Serviço",0,IF(AND(AUTOEVENTO="Manual",$M34=1),0,IF(OFFSET(CRONOPLE!$F$14,$M34,AU$13)="",10^12,OFFSET(CRONOPLE!$F$14,$M34,AU$13))))</f>
        <v>0</v>
      </c>
      <c r="AV34" s="181">
        <f ca="1">IF($D34&lt;&gt;"Serviço",0,IF(AND(AUTOEVENTO="Manual",$M34=1),0,IF(OFFSET(CRONOPLE!$F$14,$M34,AV$13)="",10^12,OFFSET(CRONOPLE!$F$14,$M34,AV$13))))</f>
        <v>0</v>
      </c>
      <c r="AX34" s="182">
        <f ca="1">IF($D34&lt;&gt;"Serviço",0,IF(OR(AND(AUTOEVENTO="Manual",$M34=1),$M34&gt;(ROW(PLE.lastrow)-ROW(PLE.firstrow))),0,IF(OFFSET(PLE!$G$14,$M34,AX$13)="",10^12,OFFSET(PLE!$G$14,$M34,AX$13))))</f>
        <v>0</v>
      </c>
      <c r="AY34" s="182">
        <f ca="1">IF($D34&lt;&gt;"Serviço",0,IF(OR(AND(AUTOEVENTO="Manual",$M34=1),$M34&gt;(ROW(PLE.lastrow)-ROW(PLE.firstrow))),0,IF(OFFSET(PLE!$G$14,$M34,AY$13)="",10^12,OFFSET(PLE!$G$14,$M34,AY$13))))</f>
        <v>0</v>
      </c>
      <c r="AZ34" s="182">
        <f ca="1">IF($D34&lt;&gt;"Serviço",0,IF(OR(AND(AUTOEVENTO="Manual",$M34=1),$M34&gt;(ROW(PLE.lastrow)-ROW(PLE.firstrow))),0,IF(OFFSET(PLE!$G$14,$M34,AZ$13)="",10^12,OFFSET(PLE!$G$14,$M34,AZ$13))))</f>
        <v>0</v>
      </c>
      <c r="BA34" s="182">
        <f ca="1">IF($D34&lt;&gt;"Serviço",0,IF(OR(AND(AUTOEVENTO="Manual",$M34=1),$M34&gt;(ROW(PLE.lastrow)-ROW(PLE.firstrow))),0,IF(OFFSET(PLE!$G$14,$M34,BA$13)="",10^12,OFFSET(PLE!$G$14,$M34,BA$13))))</f>
        <v>0</v>
      </c>
      <c r="BB34" s="182">
        <f ca="1">IF($D34&lt;&gt;"Serviço",0,IF(OR(AND(AUTOEVENTO="Manual",$M34=1),$M34&gt;(ROW(PLE.lastrow)-ROW(PLE.firstrow))),0,IF(OFFSET(PLE!$G$14,$M34,BB$13)="",10^12,OFFSET(PLE!$G$14,$M34,BB$13))))</f>
        <v>0</v>
      </c>
      <c r="BC34" s="182">
        <f ca="1">IF($D34&lt;&gt;"Serviço",0,IF(OR(AND(AUTOEVENTO="Manual",$M34=1),$M34&gt;(ROW(PLE.lastrow)-ROW(PLE.firstrow))),0,IF(OFFSET(PLE!$G$14,$M34,BC$13)="",10^12,OFFSET(PLE!$G$14,$M34,BC$13))))</f>
        <v>0</v>
      </c>
      <c r="BD34" s="182">
        <f ca="1">IF($D34&lt;&gt;"Serviço",0,IF(OR(AND(AUTOEVENTO="Manual",$M34=1),$M34&gt;(ROW(PLE.lastrow)-ROW(PLE.firstrow))),0,IF(OFFSET(PLE!$G$14,$M34,BD$13)="",10^12,OFFSET(PLE!$G$14,$M34,BD$13))))</f>
        <v>0</v>
      </c>
      <c r="BE34" s="182">
        <f ca="1">IF($D34&lt;&gt;"Serviço",0,IF(OR(AND(AUTOEVENTO="Manual",$M34=1),$M34&gt;(ROW(PLE.lastrow)-ROW(PLE.firstrow))),0,IF(OFFSET(PLE!$G$14,$M34,BE$13)="",10^12,OFFSET(PLE!$G$14,$M34,BE$13))))</f>
        <v>0</v>
      </c>
      <c r="BF34" s="182">
        <f ca="1">IF($D34&lt;&gt;"Serviço",0,IF(OR(AND(AUTOEVENTO="Manual",$M34=1),$M34&gt;(ROW(PLE.lastrow)-ROW(PLE.firstrow))),0,IF(OFFSET(PLE!$G$14,$M34,BF$13)="",10^12,OFFSET(PLE!$G$14,$M34,BF$13))))</f>
        <v>0</v>
      </c>
      <c r="BG34" s="182">
        <f ca="1">IF($D34&lt;&gt;"Serviço",0,IF(OR(AND(AUTOEVENTO="Manual",$M34=1),$M34&gt;(ROW(PLE.lastrow)-ROW(PLE.firstrow))),0,IF(OFFSET(PLE!$G$14,$M34,BG$13)="",10^12,OFFSET(PLE!$G$14,$M34,BG$13))))</f>
        <v>0</v>
      </c>
    </row>
    <row r="35" spans="1:59" ht="38.25" x14ac:dyDescent="0.2">
      <c r="A35" s="7" t="str">
        <f ca="1">IF(AUTOEVENTO="Manual",IF(K35&lt;&gt;"",MIN(VALUE(LEFT(K35,FIND(".",K35)-1)),COUNTA(EVENTOS.Lista)),0),IF(OR($B35&gt;AUTOEVENTO,$B35="S",$B35=0),SUBSTITUTE(OFFSET($A35,-1,0),IF($D35="Serviço",".",""),""),ROW(A35)-ROW($A$15)&amp;"."))</f>
        <v>19</v>
      </c>
      <c r="B35" s="7" t="str">
        <f ca="1">OFFSET(ORÇAMENTO!C$15,ROW(B35)-ROW(B$15),0)</f>
        <v>S</v>
      </c>
      <c r="C35" s="7" t="str">
        <f ca="1">OFFSET(ORÇAMENTO!L$15,ROW(C35)-ROW(C$15),0)</f>
        <v>F</v>
      </c>
      <c r="D35" s="118" t="str">
        <f ca="1">OFFSET(ORÇAMENTO!N$15,ROW(D35)-ROW(D$15),0)</f>
        <v>Serviço</v>
      </c>
      <c r="E35" s="119" t="str">
        <f ca="1">OFFSET(ORÇAMENTO!O$15,ROW(E35)-ROW(E$15),0)</f>
        <v>1.4.1.</v>
      </c>
      <c r="F35" s="172" t="str">
        <f ca="1">OFFSET(ORÇAMENTO!R$15,ROW(F35)-ROW(F$15),0)</f>
        <v>Escavação, carga e transporte de material de 1ª categoria - DMT de 1.000 a 1.200 m - caminho de serviço pavimentado - com escavadeira e caminhão basculante de 14 m³</v>
      </c>
      <c r="G35" s="173" t="str">
        <f ca="1">IF($D35&lt;&gt;"Serviço","",OFFSET(ORÇAMENTO!S$15,ROW(G35)-ROW(G$15),0))</f>
        <v>m³</v>
      </c>
      <c r="H35" s="124">
        <f ca="1">IF($D35&lt;&gt;"Serviço",0,IF(ACOMPANHAMENTO="BM",ROUND(OFFSET(ORÇAMENTO!AJ$15,ROW(H35)-ROW(H$15),0),15-13*ORÇAMENTO!$AF$7),SUMPRODUCT(($Q$12:$AA$12&lt;&gt;"")*ROUND($Q35:$AA35,15-13*ORÇAMENTO!$AF$7))))</f>
        <v>20</v>
      </c>
      <c r="I35" s="561"/>
      <c r="K35" s="174"/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177" t="str">
        <f ca="1">IF($D35&lt;&gt;"Serviço","",IF(AUTOEVENTO="Manual",IF($A35=0,"&lt;-- defina o número do agrupador",OFFSET(EVENTOS!$D$14,$A35,0)),OFFSET($F$15,$A35,0)))</f>
        <v>PAVIMENTAÇÃO</v>
      </c>
      <c r="O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B35" s="544">
        <f ca="1">IF(AND($D35="Serviço",AB$12&lt;&gt;0,$H35&gt;0,OR(AUTOEVENTO&lt;&gt;"manual",$M35&lt;&gt;1)), IF(Import.TipoArredondamento&lt;&gt;"TransfereGOV", ROUND(OFFSET($P35,0,AB$13),15-13*ORÇAMENTO!$AF$7)/$H35*OFFSET(ORÇAMENTO!$X$15,ROW(AB35)-ROW(AB$15),0), ROUND(ROUND(OFFSET($P35,0,AB$13),15-13*ORÇAMENTO!$AF$7)*OFFSET(ORÇAMENTO!$W$15,ROW(AB35)-ROW(AB$15),0),15-13*ORÇAMENTO!$AF$11)),0)</f>
        <v>0</v>
      </c>
      <c r="AC35" s="545">
        <f ca="1">IF(AND($D35="Serviço",AC$12&lt;&gt;0,$H35&gt;0,OR(AUTOEVENTO&lt;&gt;"manual",$M35&lt;&gt;1)), IF(Import.TipoArredondamento&lt;&gt;"TransfereGOV", ROUND(OFFSET($P35,0,AC$13),15-13*ORÇAMENTO!$AF$7)/$H35*OFFSET(ORÇAMENTO!$X$15,ROW(AC35)-ROW(AC$15),0), ROUND(ROUND(OFFSET($P35,0,AC$13),15-13*ORÇAMENTO!$AF$7)*OFFSET(ORÇAMENTO!$W$15,ROW(AC35)-ROW(AC$15),0),15-13*ORÇAMENTO!$AF$11)),0)</f>
        <v>0</v>
      </c>
      <c r="AD35" s="545">
        <f ca="1">IF(AND($D35="Serviço",AD$12&lt;&gt;0,$H35&gt;0,OR(AUTOEVENTO&lt;&gt;"manual",$M35&lt;&gt;1)), IF(Import.TipoArredondamento&lt;&gt;"TransfereGOV", ROUND(OFFSET($P35,0,AD$13),15-13*ORÇAMENTO!$AF$7)/$H35*OFFSET(ORÇAMENTO!$X$15,ROW(AD35)-ROW(AD$15),0), ROUND(ROUND(OFFSET($P35,0,AD$13),15-13*ORÇAMENTO!$AF$7)*OFFSET(ORÇAMENTO!$W$15,ROW(AD35)-ROW(AD$15),0),15-13*ORÇAMENTO!$AF$11)),0)</f>
        <v>0</v>
      </c>
      <c r="AE35" s="545">
        <f ca="1">IF(AND($D35="Serviço",AE$12&lt;&gt;0,$H35&gt;0,OR(AUTOEVENTO&lt;&gt;"manual",$M35&lt;&gt;1)), IF(Import.TipoArredondamento&lt;&gt;"TransfereGOV", ROUND(OFFSET($P35,0,AE$13),15-13*ORÇAMENTO!$AF$7)/$H35*OFFSET(ORÇAMENTO!$X$15,ROW(AE35)-ROW(AE$15),0), ROUND(ROUND(OFFSET($P35,0,AE$13),15-13*ORÇAMENTO!$AF$7)*OFFSET(ORÇAMENTO!$W$15,ROW(AE35)-ROW(AE$15),0),15-13*ORÇAMENTO!$AF$11)),0)</f>
        <v>0</v>
      </c>
      <c r="AF35" s="545">
        <f ca="1">IF(AND($D35="Serviço",AF$12&lt;&gt;0,$H35&gt;0,OR(AUTOEVENTO&lt;&gt;"manual",$M35&lt;&gt;1)), IF(Import.TipoArredondamento&lt;&gt;"TransfereGOV", ROUND(OFFSET($P35,0,AF$13),15-13*ORÇAMENTO!$AF$7)/$H35*OFFSET(ORÇAMENTO!$X$15,ROW(AF35)-ROW(AF$15),0), ROUND(ROUND(OFFSET($P35,0,AF$13),15-13*ORÇAMENTO!$AF$7)*OFFSET(ORÇAMENTO!$W$15,ROW(AF35)-ROW(AF$15),0),15-13*ORÇAMENTO!$AF$11)),0)</f>
        <v>0</v>
      </c>
      <c r="AG35" s="545">
        <f ca="1">IF(AND($D35="Serviço",AG$12&lt;&gt;0,$H35&gt;0,OR(AUTOEVENTO&lt;&gt;"manual",$M35&lt;&gt;1)), IF(Import.TipoArredondamento&lt;&gt;"TransfereGOV", ROUND(OFFSET($P35,0,AG$13),15-13*ORÇAMENTO!$AF$7)/$H35*OFFSET(ORÇAMENTO!$X$15,ROW(AG35)-ROW(AG$15),0), ROUND(ROUND(OFFSET($P35,0,AG$13),15-13*ORÇAMENTO!$AF$7)*OFFSET(ORÇAMENTO!$W$15,ROW(AG35)-ROW(AG$15),0),15-13*ORÇAMENTO!$AF$11)),0)</f>
        <v>0</v>
      </c>
      <c r="AH35" s="545">
        <f ca="1">IF(AND($D35="Serviço",AH$12&lt;&gt;0,$H35&gt;0,OR(AUTOEVENTO&lt;&gt;"manual",$M35&lt;&gt;1)), IF(Import.TipoArredondamento&lt;&gt;"TransfereGOV", ROUND(OFFSET($P35,0,AH$13),15-13*ORÇAMENTO!$AF$7)/$H35*OFFSET(ORÇAMENTO!$X$15,ROW(AH35)-ROW(AH$15),0), ROUND(ROUND(OFFSET($P35,0,AH$13),15-13*ORÇAMENTO!$AF$7)*OFFSET(ORÇAMENTO!$W$15,ROW(AH35)-ROW(AH$15),0),15-13*ORÇAMENTO!$AF$11)),0)</f>
        <v>0</v>
      </c>
      <c r="AI35" s="545">
        <f ca="1">IF(AND($D35="Serviço",AI$12&lt;&gt;0,$H35&gt;0,OR(AUTOEVENTO&lt;&gt;"manual",$M35&lt;&gt;1)), IF(Import.TipoArredondamento&lt;&gt;"TransfereGOV", ROUND(OFFSET($P35,0,AI$13),15-13*ORÇAMENTO!$AF$7)/$H35*OFFSET(ORÇAMENTO!$X$15,ROW(AI35)-ROW(AI$15),0), ROUND(ROUND(OFFSET($P35,0,AI$13),15-13*ORÇAMENTO!$AF$7)*OFFSET(ORÇAMENTO!$W$15,ROW(AI35)-ROW(AI$15),0),15-13*ORÇAMENTO!$AF$11)),0)</f>
        <v>0</v>
      </c>
      <c r="AJ35" s="545">
        <f ca="1">IF(AND($D35="Serviço",AJ$12&lt;&gt;0,$H35&gt;0,OR(AUTOEVENTO&lt;&gt;"manual",$M35&lt;&gt;1)), IF(Import.TipoArredondamento&lt;&gt;"TransfereGOV", ROUND(OFFSET($P35,0,AJ$13),15-13*ORÇAMENTO!$AF$7)/$H35*OFFSET(ORÇAMENTO!$X$15,ROW(AJ35)-ROW(AJ$15),0), ROUND(ROUND(OFFSET($P35,0,AJ$13),15-13*ORÇAMENTO!$AF$7)*OFFSET(ORÇAMENTO!$W$15,ROW(AJ35)-ROW(AJ$15),0),15-13*ORÇAMENTO!$AF$11)),0)</f>
        <v>0</v>
      </c>
      <c r="AK35" s="546">
        <f ca="1">IF(AND($D35="Serviço",AK$12&lt;&gt;0,$H35&gt;0,OR(AUTOEVENTO&lt;&gt;"manual",$M35&lt;&gt;1)), IF(Import.TipoArredondamento&lt;&gt;"TransfereGOV", ROUND(OFFSET($P35,0,AK$13),15-13*ORÇAMENTO!$AF$7)/$H35*OFFSET(ORÇAMENTO!$X$15,ROW(AK35)-ROW(AK$15),0), ROUND(ROUND(OFFSET($P35,0,AK$13),15-13*ORÇAMENTO!$AF$7)*OFFSET(ORÇAMENTO!$W$15,ROW(AK35)-ROW(AK$15),0),15-13*ORÇAMENTO!$AF$11)),0)</f>
        <v>0</v>
      </c>
      <c r="AM35" s="181">
        <f ca="1">IF($D35&lt;&gt;"Serviço",0,IF(AND(AUTOEVENTO="Manual",$M35=1),0,IF(OFFSET(CRONOPLE!$F$14,$M35,AM$13)="",10^12,OFFSET(CRONOPLE!$F$14,$M35,AM$13))))</f>
        <v>1000000000000</v>
      </c>
      <c r="AN35" s="181">
        <f ca="1">IF($D35&lt;&gt;"Serviço",0,IF(AND(AUTOEVENTO="Manual",$M35=1),0,IF(OFFSET(CRONOPLE!$F$14,$M35,AN$13)="",10^12,OFFSET(CRONOPLE!$F$14,$M35,AN$13))))</f>
        <v>1000000000000</v>
      </c>
      <c r="AO35" s="181">
        <f ca="1">IF($D35&lt;&gt;"Serviço",0,IF(AND(AUTOEVENTO="Manual",$M35=1),0,IF(OFFSET(CRONOPLE!$F$14,$M35,AO$13)="",10^12,OFFSET(CRONOPLE!$F$14,$M35,AO$13))))</f>
        <v>1000000000000</v>
      </c>
      <c r="AP35" s="181">
        <f ca="1">IF($D35&lt;&gt;"Serviço",0,IF(AND(AUTOEVENTO="Manual",$M35=1),0,IF(OFFSET(CRONOPLE!$F$14,$M35,AP$13)="",10^12,OFFSET(CRONOPLE!$F$14,$M35,AP$13))))</f>
        <v>1000000000000</v>
      </c>
      <c r="AQ35" s="181">
        <f ca="1">IF($D35&lt;&gt;"Serviço",0,IF(AND(AUTOEVENTO="Manual",$M35=1),0,IF(OFFSET(CRONOPLE!$F$14,$M35,AQ$13)="",10^12,OFFSET(CRONOPLE!$F$14,$M35,AQ$13))))</f>
        <v>1000000000000</v>
      </c>
      <c r="AR35" s="181">
        <f ca="1">IF($D35&lt;&gt;"Serviço",0,IF(AND(AUTOEVENTO="Manual",$M35=1),0,IF(OFFSET(CRONOPLE!$F$14,$M35,AR$13)="",10^12,OFFSET(CRONOPLE!$F$14,$M35,AR$13))))</f>
        <v>1000000000000</v>
      </c>
      <c r="AS35" s="181">
        <f ca="1">IF($D35&lt;&gt;"Serviço",0,IF(AND(AUTOEVENTO="Manual",$M35=1),0,IF(OFFSET(CRONOPLE!$F$14,$M35,AS$13)="",10^12,OFFSET(CRONOPLE!$F$14,$M35,AS$13))))</f>
        <v>1000000000000</v>
      </c>
      <c r="AT35" s="181">
        <f ca="1">IF($D35&lt;&gt;"Serviço",0,IF(AND(AUTOEVENTO="Manual",$M35=1),0,IF(OFFSET(CRONOPLE!$F$14,$M35,AT$13)="",10^12,OFFSET(CRONOPLE!$F$14,$M35,AT$13))))</f>
        <v>1000000000000</v>
      </c>
      <c r="AU35" s="181">
        <f ca="1">IF($D35&lt;&gt;"Serviço",0,IF(AND(AUTOEVENTO="Manual",$M35=1),0,IF(OFFSET(CRONOPLE!$F$14,$M35,AU$13)="",10^12,OFFSET(CRONOPLE!$F$14,$M35,AU$13))))</f>
        <v>1000000000000</v>
      </c>
      <c r="AV35" s="181">
        <f ca="1">IF($D35&lt;&gt;"Serviço",0,IF(AND(AUTOEVENTO="Manual",$M35=1),0,IF(OFFSET(CRONOPLE!$F$14,$M35,AV$13)="",10^12,OFFSET(CRONOPLE!$F$14,$M35,AV$13))))</f>
        <v>1000000000000</v>
      </c>
      <c r="AX35" s="182">
        <f ca="1">IF($D35&lt;&gt;"Serviço",0,IF(OR(AND(AUTOEVENTO="Manual",$M35=1),$M35&gt;(ROW(PLE.lastrow)-ROW(PLE.firstrow))),0,IF(OFFSET(PLE!$G$14,$M35,AX$13)="",10^12,OFFSET(PLE!$G$14,$M35,AX$13))))</f>
        <v>1000000000000</v>
      </c>
      <c r="AY35" s="182">
        <f ca="1">IF($D35&lt;&gt;"Serviço",0,IF(OR(AND(AUTOEVENTO="Manual",$M35=1),$M35&gt;(ROW(PLE.lastrow)-ROW(PLE.firstrow))),0,IF(OFFSET(PLE!$G$14,$M35,AY$13)="",10^12,OFFSET(PLE!$G$14,$M35,AY$13))))</f>
        <v>1000000000000</v>
      </c>
      <c r="AZ35" s="182">
        <f ca="1">IF($D35&lt;&gt;"Serviço",0,IF(OR(AND(AUTOEVENTO="Manual",$M35=1),$M35&gt;(ROW(PLE.lastrow)-ROW(PLE.firstrow))),0,IF(OFFSET(PLE!$G$14,$M35,AZ$13)="",10^12,OFFSET(PLE!$G$14,$M35,AZ$13))))</f>
        <v>1000000000000</v>
      </c>
      <c r="BA35" s="182">
        <f ca="1">IF($D35&lt;&gt;"Serviço",0,IF(OR(AND(AUTOEVENTO="Manual",$M35=1),$M35&gt;(ROW(PLE.lastrow)-ROW(PLE.firstrow))),0,IF(OFFSET(PLE!$G$14,$M35,BA$13)="",10^12,OFFSET(PLE!$G$14,$M35,BA$13))))</f>
        <v>1000000000000</v>
      </c>
      <c r="BB35" s="182">
        <f ca="1">IF($D35&lt;&gt;"Serviço",0,IF(OR(AND(AUTOEVENTO="Manual",$M35=1),$M35&gt;(ROW(PLE.lastrow)-ROW(PLE.firstrow))),0,IF(OFFSET(PLE!$G$14,$M35,BB$13)="",10^12,OFFSET(PLE!$G$14,$M35,BB$13))))</f>
        <v>1000000000000</v>
      </c>
      <c r="BC35" s="182">
        <f ca="1">IF($D35&lt;&gt;"Serviço",0,IF(OR(AND(AUTOEVENTO="Manual",$M35=1),$M35&gt;(ROW(PLE.lastrow)-ROW(PLE.firstrow))),0,IF(OFFSET(PLE!$G$14,$M35,BC$13)="",10^12,OFFSET(PLE!$G$14,$M35,BC$13))))</f>
        <v>1000000000000</v>
      </c>
      <c r="BD35" s="182">
        <f ca="1">IF($D35&lt;&gt;"Serviço",0,IF(OR(AND(AUTOEVENTO="Manual",$M35=1),$M35&gt;(ROW(PLE.lastrow)-ROW(PLE.firstrow))),0,IF(OFFSET(PLE!$G$14,$M35,BD$13)="",10^12,OFFSET(PLE!$G$14,$M35,BD$13))))</f>
        <v>1000000000000</v>
      </c>
      <c r="BE35" s="182">
        <f ca="1">IF($D35&lt;&gt;"Serviço",0,IF(OR(AND(AUTOEVENTO="Manual",$M35=1),$M35&gt;(ROW(PLE.lastrow)-ROW(PLE.firstrow))),0,IF(OFFSET(PLE!$G$14,$M35,BE$13)="",10^12,OFFSET(PLE!$G$14,$M35,BE$13))))</f>
        <v>1000000000000</v>
      </c>
      <c r="BF35" s="182">
        <f ca="1">IF($D35&lt;&gt;"Serviço",0,IF(OR(AND(AUTOEVENTO="Manual",$M35=1),$M35&gt;(ROW(PLE.lastrow)-ROW(PLE.firstrow))),0,IF(OFFSET(PLE!$G$14,$M35,BF$13)="",10^12,OFFSET(PLE!$G$14,$M35,BF$13))))</f>
        <v>1000000000000</v>
      </c>
      <c r="BG35" s="18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25.5" x14ac:dyDescent="0.2">
      <c r="A36" s="7" t="str">
        <f ca="1">IF(AUTOEVENTO="Manual",IF(K36&lt;&gt;"",MIN(VALUE(LEFT(K36,FIND(".",K36)-1)),COUNTA(EVENTOS.Lista)),0),IF(OR($B36&gt;AUTOEVENTO,$B36="S",$B36=0),SUBSTITUTE(OFFSET($A36,-1,0),IF($D36="Serviço",".",""),""),ROW(A36)-ROW($A$15)&amp;"."))</f>
        <v>19</v>
      </c>
      <c r="B36" s="7" t="str">
        <f ca="1">OFFSET(ORÇAMENTO!C$15,ROW(B36)-ROW(B$15),0)</f>
        <v>S</v>
      </c>
      <c r="C36" s="7" t="str">
        <f ca="1">OFFSET(ORÇAMENTO!L$15,ROW(C36)-ROW(C$15),0)</f>
        <v>F</v>
      </c>
      <c r="D36" s="118" t="str">
        <f ca="1">OFFSET(ORÇAMENTO!N$15,ROW(D36)-ROW(D$15),0)</f>
        <v>Serviço</v>
      </c>
      <c r="E36" s="119" t="str">
        <f ca="1">OFFSET(ORÇAMENTO!O$15,ROW(E36)-ROW(E$15),0)</f>
        <v>1.4.2.</v>
      </c>
      <c r="F36" s="172" t="str">
        <f ca="1">OFFSET(ORÇAMENTO!R$15,ROW(F36)-ROW(F$15),0)</f>
        <v>Base ou sub-base de brita graduada com brita comercial - 100% Proctor modificado</v>
      </c>
      <c r="G36" s="173" t="str">
        <f ca="1">IF($D36&lt;&gt;"Serviço","",OFFSET(ORÇAMENTO!S$15,ROW(G36)-ROW(G$15),0))</f>
        <v>m³</v>
      </c>
      <c r="H36" s="124">
        <f ca="1">IF($D36&lt;&gt;"Serviço",0,IF(ACOMPANHAMENTO="BM",ROUND(OFFSET(ORÇAMENTO!AJ$15,ROW(H36)-ROW(H$15),0),15-13*ORÇAMENTO!$AF$7),SUMPRODUCT(($Q$12:$AA$12&lt;&gt;"")*ROUND($Q36:$AA36,15-13*ORÇAMENTO!$AF$7))))</f>
        <v>40</v>
      </c>
      <c r="I36" s="561"/>
      <c r="K36" s="174"/>
      <c r="L36" s="175" t="s">
        <v>255</v>
      </c>
      <c r="M36" s="17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177" t="str">
        <f ca="1">IF($D36&lt;&gt;"Serviço","",IF(AUTOEVENTO="Manual",IF($A36=0,"&lt;-- defina o número do agrupador",OFFSET(EVENTOS!$D$14,$A36,0)),OFFSET($F$15,$A36,0)))</f>
        <v>PAVIMENTAÇÃO</v>
      </c>
      <c r="O36" s="178"/>
      <c r="Q36" s="178"/>
      <c r="R36" s="179"/>
      <c r="S36" s="179"/>
      <c r="T36" s="179"/>
      <c r="U36" s="179"/>
      <c r="V36" s="179"/>
      <c r="W36" s="179"/>
      <c r="X36" s="179"/>
      <c r="Y36" s="179"/>
      <c r="Z36" s="180"/>
      <c r="AB36" s="544">
        <f ca="1">IF(AND($D36="Serviço",AB$12&lt;&gt;0,$H36&gt;0,OR(AUTOEVENTO&lt;&gt;"manual",$M36&lt;&gt;1)), IF(Import.TipoArredondamento&lt;&gt;"TransfereGOV", ROUND(OFFSET($P36,0,AB$13),15-13*ORÇAMENTO!$AF$7)/$H36*OFFSET(ORÇAMENTO!$X$15,ROW(AB36)-ROW(AB$15),0), ROUND(ROUND(OFFSET($P36,0,AB$13),15-13*ORÇAMENTO!$AF$7)*OFFSET(ORÇAMENTO!$W$15,ROW(AB36)-ROW(AB$15),0),15-13*ORÇAMENTO!$AF$11)),0)</f>
        <v>0</v>
      </c>
      <c r="AC36" s="545">
        <f ca="1">IF(AND($D36="Serviço",AC$12&lt;&gt;0,$H36&gt;0,OR(AUTOEVENTO&lt;&gt;"manual",$M36&lt;&gt;1)), IF(Import.TipoArredondamento&lt;&gt;"TransfereGOV", ROUND(OFFSET($P36,0,AC$13),15-13*ORÇAMENTO!$AF$7)/$H36*OFFSET(ORÇAMENTO!$X$15,ROW(AC36)-ROW(AC$15),0), ROUND(ROUND(OFFSET($P36,0,AC$13),15-13*ORÇAMENTO!$AF$7)*OFFSET(ORÇAMENTO!$W$15,ROW(AC36)-ROW(AC$15),0),15-13*ORÇAMENTO!$AF$11)),0)</f>
        <v>0</v>
      </c>
      <c r="AD36" s="545">
        <f ca="1">IF(AND($D36="Serviço",AD$12&lt;&gt;0,$H36&gt;0,OR(AUTOEVENTO&lt;&gt;"manual",$M36&lt;&gt;1)), IF(Import.TipoArredondamento&lt;&gt;"TransfereGOV", ROUND(OFFSET($P36,0,AD$13),15-13*ORÇAMENTO!$AF$7)/$H36*OFFSET(ORÇAMENTO!$X$15,ROW(AD36)-ROW(AD$15),0), ROUND(ROUND(OFFSET($P36,0,AD$13),15-13*ORÇAMENTO!$AF$7)*OFFSET(ORÇAMENTO!$W$15,ROW(AD36)-ROW(AD$15),0),15-13*ORÇAMENTO!$AF$11)),0)</f>
        <v>0</v>
      </c>
      <c r="AE36" s="545">
        <f ca="1">IF(AND($D36="Serviço",AE$12&lt;&gt;0,$H36&gt;0,OR(AUTOEVENTO&lt;&gt;"manual",$M36&lt;&gt;1)), IF(Import.TipoArredondamento&lt;&gt;"TransfereGOV", ROUND(OFFSET($P36,0,AE$13),15-13*ORÇAMENTO!$AF$7)/$H36*OFFSET(ORÇAMENTO!$X$15,ROW(AE36)-ROW(AE$15),0), ROUND(ROUND(OFFSET($P36,0,AE$13),15-13*ORÇAMENTO!$AF$7)*OFFSET(ORÇAMENTO!$W$15,ROW(AE36)-ROW(AE$15),0),15-13*ORÇAMENTO!$AF$11)),0)</f>
        <v>0</v>
      </c>
      <c r="AF36" s="545">
        <f ca="1">IF(AND($D36="Serviço",AF$12&lt;&gt;0,$H36&gt;0,OR(AUTOEVENTO&lt;&gt;"manual",$M36&lt;&gt;1)), IF(Import.TipoArredondamento&lt;&gt;"TransfereGOV", ROUND(OFFSET($P36,0,AF$13),15-13*ORÇAMENTO!$AF$7)/$H36*OFFSET(ORÇAMENTO!$X$15,ROW(AF36)-ROW(AF$15),0), ROUND(ROUND(OFFSET($P36,0,AF$13),15-13*ORÇAMENTO!$AF$7)*OFFSET(ORÇAMENTO!$W$15,ROW(AF36)-ROW(AF$15),0),15-13*ORÇAMENTO!$AF$11)),0)</f>
        <v>0</v>
      </c>
      <c r="AG36" s="545">
        <f ca="1">IF(AND($D36="Serviço",AG$12&lt;&gt;0,$H36&gt;0,OR(AUTOEVENTO&lt;&gt;"manual",$M36&lt;&gt;1)), IF(Import.TipoArredondamento&lt;&gt;"TransfereGOV", ROUND(OFFSET($P36,0,AG$13),15-13*ORÇAMENTO!$AF$7)/$H36*OFFSET(ORÇAMENTO!$X$15,ROW(AG36)-ROW(AG$15),0), ROUND(ROUND(OFFSET($P36,0,AG$13),15-13*ORÇAMENTO!$AF$7)*OFFSET(ORÇAMENTO!$W$15,ROW(AG36)-ROW(AG$15),0),15-13*ORÇAMENTO!$AF$11)),0)</f>
        <v>0</v>
      </c>
      <c r="AH36" s="545">
        <f ca="1">IF(AND($D36="Serviço",AH$12&lt;&gt;0,$H36&gt;0,OR(AUTOEVENTO&lt;&gt;"manual",$M36&lt;&gt;1)), IF(Import.TipoArredondamento&lt;&gt;"TransfereGOV", ROUND(OFFSET($P36,0,AH$13),15-13*ORÇAMENTO!$AF$7)/$H36*OFFSET(ORÇAMENTO!$X$15,ROW(AH36)-ROW(AH$15),0), ROUND(ROUND(OFFSET($P36,0,AH$13),15-13*ORÇAMENTO!$AF$7)*OFFSET(ORÇAMENTO!$W$15,ROW(AH36)-ROW(AH$15),0),15-13*ORÇAMENTO!$AF$11)),0)</f>
        <v>0</v>
      </c>
      <c r="AI36" s="545">
        <f ca="1">IF(AND($D36="Serviço",AI$12&lt;&gt;0,$H36&gt;0,OR(AUTOEVENTO&lt;&gt;"manual",$M36&lt;&gt;1)), IF(Import.TipoArredondamento&lt;&gt;"TransfereGOV", ROUND(OFFSET($P36,0,AI$13),15-13*ORÇAMENTO!$AF$7)/$H36*OFFSET(ORÇAMENTO!$X$15,ROW(AI36)-ROW(AI$15),0), ROUND(ROUND(OFFSET($P36,0,AI$13),15-13*ORÇAMENTO!$AF$7)*OFFSET(ORÇAMENTO!$W$15,ROW(AI36)-ROW(AI$15),0),15-13*ORÇAMENTO!$AF$11)),0)</f>
        <v>0</v>
      </c>
      <c r="AJ36" s="545">
        <f ca="1">IF(AND($D36="Serviço",AJ$12&lt;&gt;0,$H36&gt;0,OR(AUTOEVENTO&lt;&gt;"manual",$M36&lt;&gt;1)), IF(Import.TipoArredondamento&lt;&gt;"TransfereGOV", ROUND(OFFSET($P36,0,AJ$13),15-13*ORÇAMENTO!$AF$7)/$H36*OFFSET(ORÇAMENTO!$X$15,ROW(AJ36)-ROW(AJ$15),0), ROUND(ROUND(OFFSET($P36,0,AJ$13),15-13*ORÇAMENTO!$AF$7)*OFFSET(ORÇAMENTO!$W$15,ROW(AJ36)-ROW(AJ$15),0),15-13*ORÇAMENTO!$AF$11)),0)</f>
        <v>0</v>
      </c>
      <c r="AK36" s="546">
        <f ca="1">IF(AND($D36="Serviço",AK$12&lt;&gt;0,$H36&gt;0,OR(AUTOEVENTO&lt;&gt;"manual",$M36&lt;&gt;1)), IF(Import.TipoArredondamento&lt;&gt;"TransfereGOV", ROUND(OFFSET($P36,0,AK$13),15-13*ORÇAMENTO!$AF$7)/$H36*OFFSET(ORÇAMENTO!$X$15,ROW(AK36)-ROW(AK$15),0), ROUND(ROUND(OFFSET($P36,0,AK$13),15-13*ORÇAMENTO!$AF$7)*OFFSET(ORÇAMENTO!$W$15,ROW(AK36)-ROW(AK$15),0),15-13*ORÇAMENTO!$AF$11)),0)</f>
        <v>0</v>
      </c>
      <c r="AM36" s="181">
        <f ca="1">IF($D36&lt;&gt;"Serviço",0,IF(AND(AUTOEVENTO="Manual",$M36=1),0,IF(OFFSET(CRONOPLE!$F$14,$M36,AM$13)="",10^12,OFFSET(CRONOPLE!$F$14,$M36,AM$13))))</f>
        <v>1000000000000</v>
      </c>
      <c r="AN36" s="181">
        <f ca="1">IF($D36&lt;&gt;"Serviço",0,IF(AND(AUTOEVENTO="Manual",$M36=1),0,IF(OFFSET(CRONOPLE!$F$14,$M36,AN$13)="",10^12,OFFSET(CRONOPLE!$F$14,$M36,AN$13))))</f>
        <v>1000000000000</v>
      </c>
      <c r="AO36" s="181">
        <f ca="1">IF($D36&lt;&gt;"Serviço",0,IF(AND(AUTOEVENTO="Manual",$M36=1),0,IF(OFFSET(CRONOPLE!$F$14,$M36,AO$13)="",10^12,OFFSET(CRONOPLE!$F$14,$M36,AO$13))))</f>
        <v>1000000000000</v>
      </c>
      <c r="AP36" s="181">
        <f ca="1">IF($D36&lt;&gt;"Serviço",0,IF(AND(AUTOEVENTO="Manual",$M36=1),0,IF(OFFSET(CRONOPLE!$F$14,$M36,AP$13)="",10^12,OFFSET(CRONOPLE!$F$14,$M36,AP$13))))</f>
        <v>1000000000000</v>
      </c>
      <c r="AQ36" s="181">
        <f ca="1">IF($D36&lt;&gt;"Serviço",0,IF(AND(AUTOEVENTO="Manual",$M36=1),0,IF(OFFSET(CRONOPLE!$F$14,$M36,AQ$13)="",10^12,OFFSET(CRONOPLE!$F$14,$M36,AQ$13))))</f>
        <v>1000000000000</v>
      </c>
      <c r="AR36" s="181">
        <f ca="1">IF($D36&lt;&gt;"Serviço",0,IF(AND(AUTOEVENTO="Manual",$M36=1),0,IF(OFFSET(CRONOPLE!$F$14,$M36,AR$13)="",10^12,OFFSET(CRONOPLE!$F$14,$M36,AR$13))))</f>
        <v>1000000000000</v>
      </c>
      <c r="AS36" s="181">
        <f ca="1">IF($D36&lt;&gt;"Serviço",0,IF(AND(AUTOEVENTO="Manual",$M36=1),0,IF(OFFSET(CRONOPLE!$F$14,$M36,AS$13)="",10^12,OFFSET(CRONOPLE!$F$14,$M36,AS$13))))</f>
        <v>1000000000000</v>
      </c>
      <c r="AT36" s="181">
        <f ca="1">IF($D36&lt;&gt;"Serviço",0,IF(AND(AUTOEVENTO="Manual",$M36=1),0,IF(OFFSET(CRONOPLE!$F$14,$M36,AT$13)="",10^12,OFFSET(CRONOPLE!$F$14,$M36,AT$13))))</f>
        <v>1000000000000</v>
      </c>
      <c r="AU36" s="181">
        <f ca="1">IF($D36&lt;&gt;"Serviço",0,IF(AND(AUTOEVENTO="Manual",$M36=1),0,IF(OFFSET(CRONOPLE!$F$14,$M36,AU$13)="",10^12,OFFSET(CRONOPLE!$F$14,$M36,AU$13))))</f>
        <v>1000000000000</v>
      </c>
      <c r="AV36" s="181">
        <f ca="1">IF($D36&lt;&gt;"Serviço",0,IF(AND(AUTOEVENTO="Manual",$M36=1),0,IF(OFFSET(CRONOPLE!$F$14,$M36,AV$13)="",10^12,OFFSET(CRONOPLE!$F$14,$M36,AV$13))))</f>
        <v>1000000000000</v>
      </c>
      <c r="AX36" s="182">
        <f ca="1">IF($D36&lt;&gt;"Serviço",0,IF(OR(AND(AUTOEVENTO="Manual",$M36=1),$M36&gt;(ROW(PLE.lastrow)-ROW(PLE.firstrow))),0,IF(OFFSET(PLE!$G$14,$M36,AX$13)="",10^12,OFFSET(PLE!$G$14,$M36,AX$13))))</f>
        <v>1000000000000</v>
      </c>
      <c r="AY36" s="182">
        <f ca="1">IF($D36&lt;&gt;"Serviço",0,IF(OR(AND(AUTOEVENTO="Manual",$M36=1),$M36&gt;(ROW(PLE.lastrow)-ROW(PLE.firstrow))),0,IF(OFFSET(PLE!$G$14,$M36,AY$13)="",10^12,OFFSET(PLE!$G$14,$M36,AY$13))))</f>
        <v>1000000000000</v>
      </c>
      <c r="AZ36" s="182">
        <f ca="1">IF($D36&lt;&gt;"Serviço",0,IF(OR(AND(AUTOEVENTO="Manual",$M36=1),$M36&gt;(ROW(PLE.lastrow)-ROW(PLE.firstrow))),0,IF(OFFSET(PLE!$G$14,$M36,AZ$13)="",10^12,OFFSET(PLE!$G$14,$M36,AZ$13))))</f>
        <v>1000000000000</v>
      </c>
      <c r="BA36" s="182">
        <f ca="1">IF($D36&lt;&gt;"Serviço",0,IF(OR(AND(AUTOEVENTO="Manual",$M36=1),$M36&gt;(ROW(PLE.lastrow)-ROW(PLE.firstrow))),0,IF(OFFSET(PLE!$G$14,$M36,BA$13)="",10^12,OFFSET(PLE!$G$14,$M36,BA$13))))</f>
        <v>1000000000000</v>
      </c>
      <c r="BB36" s="182">
        <f ca="1">IF($D36&lt;&gt;"Serviço",0,IF(OR(AND(AUTOEVENTO="Manual",$M36=1),$M36&gt;(ROW(PLE.lastrow)-ROW(PLE.firstrow))),0,IF(OFFSET(PLE!$G$14,$M36,BB$13)="",10^12,OFFSET(PLE!$G$14,$M36,BB$13))))</f>
        <v>1000000000000</v>
      </c>
      <c r="BC36" s="182">
        <f ca="1">IF($D36&lt;&gt;"Serviço",0,IF(OR(AND(AUTOEVENTO="Manual",$M36=1),$M36&gt;(ROW(PLE.lastrow)-ROW(PLE.firstrow))),0,IF(OFFSET(PLE!$G$14,$M36,BC$13)="",10^12,OFFSET(PLE!$G$14,$M36,BC$13))))</f>
        <v>1000000000000</v>
      </c>
      <c r="BD36" s="182">
        <f ca="1">IF($D36&lt;&gt;"Serviço",0,IF(OR(AND(AUTOEVENTO="Manual",$M36=1),$M36&gt;(ROW(PLE.lastrow)-ROW(PLE.firstrow))),0,IF(OFFSET(PLE!$G$14,$M36,BD$13)="",10^12,OFFSET(PLE!$G$14,$M36,BD$13))))</f>
        <v>1000000000000</v>
      </c>
      <c r="BE36" s="182">
        <f ca="1">IF($D36&lt;&gt;"Serviço",0,IF(OR(AND(AUTOEVENTO="Manual",$M36=1),$M36&gt;(ROW(PLE.lastrow)-ROW(PLE.firstrow))),0,IF(OFFSET(PLE!$G$14,$M36,BE$13)="",10^12,OFFSET(PLE!$G$14,$M36,BE$13))))</f>
        <v>1000000000000</v>
      </c>
      <c r="BF36" s="182">
        <f ca="1">IF($D36&lt;&gt;"Serviço",0,IF(OR(AND(AUTOEVENTO="Manual",$M36=1),$M36&gt;(ROW(PLE.lastrow)-ROW(PLE.firstrow))),0,IF(OFFSET(PLE!$G$14,$M36,BF$13)="",10^12,OFFSET(PLE!$G$14,$M36,BF$13))))</f>
        <v>1000000000000</v>
      </c>
      <c r="BG36" s="18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12.75" x14ac:dyDescent="0.2">
      <c r="A37" s="7" t="str">
        <f ca="1">IF(AUTOEVENTO="Manual",IF(K37&lt;&gt;"",MIN(VALUE(LEFT(K37,FIND(".",K37)-1)),COUNTA(EVENTOS.Lista)),0),IF(OR($B37&gt;AUTOEVENTO,$B37="S",$B37=0),SUBSTITUTE(OFFSET($A37,-1,0),IF($D37="Serviço",".",""),""),ROW(A37)-ROW($A$15)&amp;"."))</f>
        <v>19</v>
      </c>
      <c r="B37" s="7" t="str">
        <f ca="1">OFFSET(ORÇAMENTO!C$15,ROW(B37)-ROW(B$15),0)</f>
        <v>S</v>
      </c>
      <c r="C37" s="7" t="str">
        <f ca="1">OFFSET(ORÇAMENTO!L$15,ROW(C37)-ROW(C$15),0)</f>
        <v>F</v>
      </c>
      <c r="D37" s="118" t="str">
        <f ca="1">OFFSET(ORÇAMENTO!N$15,ROW(D37)-ROW(D$15),0)</f>
        <v>Serviço</v>
      </c>
      <c r="E37" s="119" t="str">
        <f ca="1">OFFSET(ORÇAMENTO!O$15,ROW(E37)-ROW(E$15),0)</f>
        <v>1.4.3.</v>
      </c>
      <c r="F37" s="172" t="str">
        <f ca="1">OFFSET(ORÇAMENTO!R$15,ROW(F37)-ROW(F$15),0)</f>
        <v>Transporte com caminhão basculante de 10 m³ - rodovia pavimentada</v>
      </c>
      <c r="G37" s="173" t="str">
        <f ca="1">IF($D37&lt;&gt;"Serviço","",OFFSET(ORÇAMENTO!S$15,ROW(G37)-ROW(G$15),0))</f>
        <v>tkm</v>
      </c>
      <c r="H37" s="124">
        <f ca="1">IF($D37&lt;&gt;"Serviço",0,IF(ACOMPANHAMENTO="BM",ROUND(OFFSET(ORÇAMENTO!AJ$15,ROW(H37)-ROW(H$15),0),15-13*ORÇAMENTO!$AF$7),SUMPRODUCT(($Q$12:$AA$12&lt;&gt;"")*ROUND($Q37:$AA37,15-13*ORÇAMENTO!$AF$7))))</f>
        <v>2040</v>
      </c>
      <c r="I37" s="561"/>
      <c r="K37" s="174"/>
      <c r="L37" s="175" t="s">
        <v>255</v>
      </c>
      <c r="M37" s="176">
        <f ca="1">IF($D37&lt;&gt;"Serviço","",IF(AUTOEVENTO="manual",$A37,IF(ISERROR(MATCH($A37,$A$15:OFFSET($A37,-1,0),0)),MAX($M$15:OFFSET(M37,-1,0))+1,INDEX($M$15:OFFSET(M37,-1,0),MATCH($A37,$A$15:OFFSET($A37,-1,0),0)))))</f>
        <v>5</v>
      </c>
      <c r="N37" s="177" t="str">
        <f ca="1">IF($D37&lt;&gt;"Serviço","",IF(AUTOEVENTO="Manual",IF($A37=0,"&lt;-- defina o número do agrupador",OFFSET(EVENTOS!$D$14,$A37,0)),OFFSET($F$15,$A37,0)))</f>
        <v>PAVIMENTAÇÃO</v>
      </c>
      <c r="O37" s="178"/>
      <c r="Q37" s="178"/>
      <c r="R37" s="179"/>
      <c r="S37" s="179"/>
      <c r="T37" s="179"/>
      <c r="U37" s="179"/>
      <c r="V37" s="179"/>
      <c r="W37" s="179"/>
      <c r="X37" s="179"/>
      <c r="Y37" s="179"/>
      <c r="Z37" s="180"/>
      <c r="AB37" s="544">
        <f ca="1">IF(AND($D37="Serviço",AB$12&lt;&gt;0,$H37&gt;0,OR(AUTOEVENTO&lt;&gt;"manual",$M37&lt;&gt;1)), IF(Import.TipoArredondamento&lt;&gt;"TransfereGOV", ROUND(OFFSET($P37,0,AB$13),15-13*ORÇAMENTO!$AF$7)/$H37*OFFSET(ORÇAMENTO!$X$15,ROW(AB37)-ROW(AB$15),0), ROUND(ROUND(OFFSET($P37,0,AB$13),15-13*ORÇAMENTO!$AF$7)*OFFSET(ORÇAMENTO!$W$15,ROW(AB37)-ROW(AB$15),0),15-13*ORÇAMENTO!$AF$11)),0)</f>
        <v>0</v>
      </c>
      <c r="AC37" s="545">
        <f ca="1">IF(AND($D37="Serviço",AC$12&lt;&gt;0,$H37&gt;0,OR(AUTOEVENTO&lt;&gt;"manual",$M37&lt;&gt;1)), IF(Import.TipoArredondamento&lt;&gt;"TransfereGOV", ROUND(OFFSET($P37,0,AC$13),15-13*ORÇAMENTO!$AF$7)/$H37*OFFSET(ORÇAMENTO!$X$15,ROW(AC37)-ROW(AC$15),0), ROUND(ROUND(OFFSET($P37,0,AC$13),15-13*ORÇAMENTO!$AF$7)*OFFSET(ORÇAMENTO!$W$15,ROW(AC37)-ROW(AC$15),0),15-13*ORÇAMENTO!$AF$11)),0)</f>
        <v>0</v>
      </c>
      <c r="AD37" s="545">
        <f ca="1">IF(AND($D37="Serviço",AD$12&lt;&gt;0,$H37&gt;0,OR(AUTOEVENTO&lt;&gt;"manual",$M37&lt;&gt;1)), IF(Import.TipoArredondamento&lt;&gt;"TransfereGOV", ROUND(OFFSET($P37,0,AD$13),15-13*ORÇAMENTO!$AF$7)/$H37*OFFSET(ORÇAMENTO!$X$15,ROW(AD37)-ROW(AD$15),0), ROUND(ROUND(OFFSET($P37,0,AD$13),15-13*ORÇAMENTO!$AF$7)*OFFSET(ORÇAMENTO!$W$15,ROW(AD37)-ROW(AD$15),0),15-13*ORÇAMENTO!$AF$11)),0)</f>
        <v>0</v>
      </c>
      <c r="AE37" s="545">
        <f ca="1">IF(AND($D37="Serviço",AE$12&lt;&gt;0,$H37&gt;0,OR(AUTOEVENTO&lt;&gt;"manual",$M37&lt;&gt;1)), IF(Import.TipoArredondamento&lt;&gt;"TransfereGOV", ROUND(OFFSET($P37,0,AE$13),15-13*ORÇAMENTO!$AF$7)/$H37*OFFSET(ORÇAMENTO!$X$15,ROW(AE37)-ROW(AE$15),0), ROUND(ROUND(OFFSET($P37,0,AE$13),15-13*ORÇAMENTO!$AF$7)*OFFSET(ORÇAMENTO!$W$15,ROW(AE37)-ROW(AE$15),0),15-13*ORÇAMENTO!$AF$11)),0)</f>
        <v>0</v>
      </c>
      <c r="AF37" s="545">
        <f ca="1">IF(AND($D37="Serviço",AF$12&lt;&gt;0,$H37&gt;0,OR(AUTOEVENTO&lt;&gt;"manual",$M37&lt;&gt;1)), IF(Import.TipoArredondamento&lt;&gt;"TransfereGOV", ROUND(OFFSET($P37,0,AF$13),15-13*ORÇAMENTO!$AF$7)/$H37*OFFSET(ORÇAMENTO!$X$15,ROW(AF37)-ROW(AF$15),0), ROUND(ROUND(OFFSET($P37,0,AF$13),15-13*ORÇAMENTO!$AF$7)*OFFSET(ORÇAMENTO!$W$15,ROW(AF37)-ROW(AF$15),0),15-13*ORÇAMENTO!$AF$11)),0)</f>
        <v>0</v>
      </c>
      <c r="AG37" s="545">
        <f ca="1">IF(AND($D37="Serviço",AG$12&lt;&gt;0,$H37&gt;0,OR(AUTOEVENTO&lt;&gt;"manual",$M37&lt;&gt;1)), IF(Import.TipoArredondamento&lt;&gt;"TransfereGOV", ROUND(OFFSET($P37,0,AG$13),15-13*ORÇAMENTO!$AF$7)/$H37*OFFSET(ORÇAMENTO!$X$15,ROW(AG37)-ROW(AG$15),0), ROUND(ROUND(OFFSET($P37,0,AG$13),15-13*ORÇAMENTO!$AF$7)*OFFSET(ORÇAMENTO!$W$15,ROW(AG37)-ROW(AG$15),0),15-13*ORÇAMENTO!$AF$11)),0)</f>
        <v>0</v>
      </c>
      <c r="AH37" s="545">
        <f ca="1">IF(AND($D37="Serviço",AH$12&lt;&gt;0,$H37&gt;0,OR(AUTOEVENTO&lt;&gt;"manual",$M37&lt;&gt;1)), IF(Import.TipoArredondamento&lt;&gt;"TransfereGOV", ROUND(OFFSET($P37,0,AH$13),15-13*ORÇAMENTO!$AF$7)/$H37*OFFSET(ORÇAMENTO!$X$15,ROW(AH37)-ROW(AH$15),0), ROUND(ROUND(OFFSET($P37,0,AH$13),15-13*ORÇAMENTO!$AF$7)*OFFSET(ORÇAMENTO!$W$15,ROW(AH37)-ROW(AH$15),0),15-13*ORÇAMENTO!$AF$11)),0)</f>
        <v>0</v>
      </c>
      <c r="AI37" s="545">
        <f ca="1">IF(AND($D37="Serviço",AI$12&lt;&gt;0,$H37&gt;0,OR(AUTOEVENTO&lt;&gt;"manual",$M37&lt;&gt;1)), IF(Import.TipoArredondamento&lt;&gt;"TransfereGOV", ROUND(OFFSET($P37,0,AI$13),15-13*ORÇAMENTO!$AF$7)/$H37*OFFSET(ORÇAMENTO!$X$15,ROW(AI37)-ROW(AI$15),0), ROUND(ROUND(OFFSET($P37,0,AI$13),15-13*ORÇAMENTO!$AF$7)*OFFSET(ORÇAMENTO!$W$15,ROW(AI37)-ROW(AI$15),0),15-13*ORÇAMENTO!$AF$11)),0)</f>
        <v>0</v>
      </c>
      <c r="AJ37" s="545">
        <f ca="1">IF(AND($D37="Serviço",AJ$12&lt;&gt;0,$H37&gt;0,OR(AUTOEVENTO&lt;&gt;"manual",$M37&lt;&gt;1)), IF(Import.TipoArredondamento&lt;&gt;"TransfereGOV", ROUND(OFFSET($P37,0,AJ$13),15-13*ORÇAMENTO!$AF$7)/$H37*OFFSET(ORÇAMENTO!$X$15,ROW(AJ37)-ROW(AJ$15),0), ROUND(ROUND(OFFSET($P37,0,AJ$13),15-13*ORÇAMENTO!$AF$7)*OFFSET(ORÇAMENTO!$W$15,ROW(AJ37)-ROW(AJ$15),0),15-13*ORÇAMENTO!$AF$11)),0)</f>
        <v>0</v>
      </c>
      <c r="AK37" s="546">
        <f ca="1">IF(AND($D37="Serviço",AK$12&lt;&gt;0,$H37&gt;0,OR(AUTOEVENTO&lt;&gt;"manual",$M37&lt;&gt;1)), IF(Import.TipoArredondamento&lt;&gt;"TransfereGOV", ROUND(OFFSET($P37,0,AK$13),15-13*ORÇAMENTO!$AF$7)/$H37*OFFSET(ORÇAMENTO!$X$15,ROW(AK37)-ROW(AK$15),0), ROUND(ROUND(OFFSET($P37,0,AK$13),15-13*ORÇAMENTO!$AF$7)*OFFSET(ORÇAMENTO!$W$15,ROW(AK37)-ROW(AK$15),0),15-13*ORÇAMENTO!$AF$11)),0)</f>
        <v>0</v>
      </c>
      <c r="AM37" s="181">
        <f ca="1">IF($D37&lt;&gt;"Serviço",0,IF(AND(AUTOEVENTO="Manual",$M37=1),0,IF(OFFSET(CRONOPLE!$F$14,$M37,AM$13)="",10^12,OFFSET(CRONOPLE!$F$14,$M37,AM$13))))</f>
        <v>1000000000000</v>
      </c>
      <c r="AN37" s="181">
        <f ca="1">IF($D37&lt;&gt;"Serviço",0,IF(AND(AUTOEVENTO="Manual",$M37=1),0,IF(OFFSET(CRONOPLE!$F$14,$M37,AN$13)="",10^12,OFFSET(CRONOPLE!$F$14,$M37,AN$13))))</f>
        <v>1000000000000</v>
      </c>
      <c r="AO37" s="181">
        <f ca="1">IF($D37&lt;&gt;"Serviço",0,IF(AND(AUTOEVENTO="Manual",$M37=1),0,IF(OFFSET(CRONOPLE!$F$14,$M37,AO$13)="",10^12,OFFSET(CRONOPLE!$F$14,$M37,AO$13))))</f>
        <v>1000000000000</v>
      </c>
      <c r="AP37" s="181">
        <f ca="1">IF($D37&lt;&gt;"Serviço",0,IF(AND(AUTOEVENTO="Manual",$M37=1),0,IF(OFFSET(CRONOPLE!$F$14,$M37,AP$13)="",10^12,OFFSET(CRONOPLE!$F$14,$M37,AP$13))))</f>
        <v>1000000000000</v>
      </c>
      <c r="AQ37" s="181">
        <f ca="1">IF($D37&lt;&gt;"Serviço",0,IF(AND(AUTOEVENTO="Manual",$M37=1),0,IF(OFFSET(CRONOPLE!$F$14,$M37,AQ$13)="",10^12,OFFSET(CRONOPLE!$F$14,$M37,AQ$13))))</f>
        <v>1000000000000</v>
      </c>
      <c r="AR37" s="181">
        <f ca="1">IF($D37&lt;&gt;"Serviço",0,IF(AND(AUTOEVENTO="Manual",$M37=1),0,IF(OFFSET(CRONOPLE!$F$14,$M37,AR$13)="",10^12,OFFSET(CRONOPLE!$F$14,$M37,AR$13))))</f>
        <v>1000000000000</v>
      </c>
      <c r="AS37" s="181">
        <f ca="1">IF($D37&lt;&gt;"Serviço",0,IF(AND(AUTOEVENTO="Manual",$M37=1),0,IF(OFFSET(CRONOPLE!$F$14,$M37,AS$13)="",10^12,OFFSET(CRONOPLE!$F$14,$M37,AS$13))))</f>
        <v>1000000000000</v>
      </c>
      <c r="AT37" s="181">
        <f ca="1">IF($D37&lt;&gt;"Serviço",0,IF(AND(AUTOEVENTO="Manual",$M37=1),0,IF(OFFSET(CRONOPLE!$F$14,$M37,AT$13)="",10^12,OFFSET(CRONOPLE!$F$14,$M37,AT$13))))</f>
        <v>1000000000000</v>
      </c>
      <c r="AU37" s="181">
        <f ca="1">IF($D37&lt;&gt;"Serviço",0,IF(AND(AUTOEVENTO="Manual",$M37=1),0,IF(OFFSET(CRONOPLE!$F$14,$M37,AU$13)="",10^12,OFFSET(CRONOPLE!$F$14,$M37,AU$13))))</f>
        <v>1000000000000</v>
      </c>
      <c r="AV37" s="181">
        <f ca="1">IF($D37&lt;&gt;"Serviço",0,IF(AND(AUTOEVENTO="Manual",$M37=1),0,IF(OFFSET(CRONOPLE!$F$14,$M37,AV$13)="",10^12,OFFSET(CRONOPLE!$F$14,$M37,AV$13))))</f>
        <v>1000000000000</v>
      </c>
      <c r="AX37" s="182">
        <f ca="1">IF($D37&lt;&gt;"Serviço",0,IF(OR(AND(AUTOEVENTO="Manual",$M37=1),$M37&gt;(ROW(PLE.lastrow)-ROW(PLE.firstrow))),0,IF(OFFSET(PLE!$G$14,$M37,AX$13)="",10^12,OFFSET(PLE!$G$14,$M37,AX$13))))</f>
        <v>1000000000000</v>
      </c>
      <c r="AY37" s="182">
        <f ca="1">IF($D37&lt;&gt;"Serviço",0,IF(OR(AND(AUTOEVENTO="Manual",$M37=1),$M37&gt;(ROW(PLE.lastrow)-ROW(PLE.firstrow))),0,IF(OFFSET(PLE!$G$14,$M37,AY$13)="",10^12,OFFSET(PLE!$G$14,$M37,AY$13))))</f>
        <v>1000000000000</v>
      </c>
      <c r="AZ37" s="182">
        <f ca="1">IF($D37&lt;&gt;"Serviço",0,IF(OR(AND(AUTOEVENTO="Manual",$M37=1),$M37&gt;(ROW(PLE.lastrow)-ROW(PLE.firstrow))),0,IF(OFFSET(PLE!$G$14,$M37,AZ$13)="",10^12,OFFSET(PLE!$G$14,$M37,AZ$13))))</f>
        <v>1000000000000</v>
      </c>
      <c r="BA37" s="182">
        <f ca="1">IF($D37&lt;&gt;"Serviço",0,IF(OR(AND(AUTOEVENTO="Manual",$M37=1),$M37&gt;(ROW(PLE.lastrow)-ROW(PLE.firstrow))),0,IF(OFFSET(PLE!$G$14,$M37,BA$13)="",10^12,OFFSET(PLE!$G$14,$M37,BA$13))))</f>
        <v>1000000000000</v>
      </c>
      <c r="BB37" s="182">
        <f ca="1">IF($D37&lt;&gt;"Serviço",0,IF(OR(AND(AUTOEVENTO="Manual",$M37=1),$M37&gt;(ROW(PLE.lastrow)-ROW(PLE.firstrow))),0,IF(OFFSET(PLE!$G$14,$M37,BB$13)="",10^12,OFFSET(PLE!$G$14,$M37,BB$13))))</f>
        <v>1000000000000</v>
      </c>
      <c r="BC37" s="182">
        <f ca="1">IF($D37&lt;&gt;"Serviço",0,IF(OR(AND(AUTOEVENTO="Manual",$M37=1),$M37&gt;(ROW(PLE.lastrow)-ROW(PLE.firstrow))),0,IF(OFFSET(PLE!$G$14,$M37,BC$13)="",10^12,OFFSET(PLE!$G$14,$M37,BC$13))))</f>
        <v>1000000000000</v>
      </c>
      <c r="BD37" s="182">
        <f ca="1">IF($D37&lt;&gt;"Serviço",0,IF(OR(AND(AUTOEVENTO="Manual",$M37=1),$M37&gt;(ROW(PLE.lastrow)-ROW(PLE.firstrow))),0,IF(OFFSET(PLE!$G$14,$M37,BD$13)="",10^12,OFFSET(PLE!$G$14,$M37,BD$13))))</f>
        <v>1000000000000</v>
      </c>
      <c r="BE37" s="182">
        <f ca="1">IF($D37&lt;&gt;"Serviço",0,IF(OR(AND(AUTOEVENTO="Manual",$M37=1),$M37&gt;(ROW(PLE.lastrow)-ROW(PLE.firstrow))),0,IF(OFFSET(PLE!$G$14,$M37,BE$13)="",10^12,OFFSET(PLE!$G$14,$M37,BE$13))))</f>
        <v>1000000000000</v>
      </c>
      <c r="BF37" s="182">
        <f ca="1">IF($D37&lt;&gt;"Serviço",0,IF(OR(AND(AUTOEVENTO="Manual",$M37=1),$M37&gt;(ROW(PLE.lastrow)-ROW(PLE.firstrow))),0,IF(OFFSET(PLE!$G$14,$M37,BF$13)="",10^12,OFFSET(PLE!$G$14,$M37,BF$13))))</f>
        <v>1000000000000</v>
      </c>
      <c r="BG37" s="182">
        <f ca="1">IF($D37&lt;&gt;"Serviço",0,IF(OR(AND(AUTOEVENTO="Manual",$M37=1),$M37&gt;(ROW(PLE.lastrow)-ROW(PLE.firstrow))),0,IF(OFFSET(PLE!$G$14,$M37,BG$13)="",10^12,OFFSET(PLE!$G$14,$M37,BG$13))))</f>
        <v>1000000000000</v>
      </c>
    </row>
    <row r="38" spans="1:59" ht="25.5" x14ac:dyDescent="0.2">
      <c r="A38" s="7" t="str">
        <f ca="1">IF(AUTOEVENTO="Manual",IF(K38&lt;&gt;"",MIN(VALUE(LEFT(K38,FIND(".",K38)-1)),COUNTA(EVENTOS.Lista)),0),IF(OR($B38&gt;AUTOEVENTO,$B38="S",$B38=0),SUBSTITUTE(OFFSET($A38,-1,0),IF($D38="Serviço",".",""),""),ROW(A38)-ROW($A$15)&amp;"."))</f>
        <v>19</v>
      </c>
      <c r="B38" s="7" t="str">
        <f ca="1">OFFSET(ORÇAMENTO!C$15,ROW(B38)-ROW(B$15),0)</f>
        <v>S</v>
      </c>
      <c r="C38" s="7" t="str">
        <f ca="1">OFFSET(ORÇAMENTO!L$15,ROW(C38)-ROW(C$15),0)</f>
        <v>F</v>
      </c>
      <c r="D38" s="118" t="str">
        <f ca="1">OFFSET(ORÇAMENTO!N$15,ROW(D38)-ROW(D$15),0)</f>
        <v>Serviço</v>
      </c>
      <c r="E38" s="119" t="str">
        <f ca="1">OFFSET(ORÇAMENTO!O$15,ROW(E38)-ROW(E$15),0)</f>
        <v>1.4.4.</v>
      </c>
      <c r="F38" s="172" t="str">
        <f ca="1">OFFSET(ORÇAMENTO!R$15,ROW(F38)-ROW(F$15),0)</f>
        <v>LIMPEZA E LAVAGEM DE PISTA COM CAMINHÃO PIPA E VASSOURA MECÂNICA</v>
      </c>
      <c r="G38" s="173" t="str">
        <f ca="1">IF($D38&lt;&gt;"Serviço","",OFFSET(ORÇAMENTO!S$15,ROW(G38)-ROW(G$15),0))</f>
        <v>M²</v>
      </c>
      <c r="H38" s="124">
        <f ca="1">IF($D38&lt;&gt;"Serviço",0,IF(ACOMPANHAMENTO="BM",ROUND(OFFSET(ORÇAMENTO!AJ$15,ROW(H38)-ROW(H$15),0),15-13*ORÇAMENTO!$AF$7),SUMPRODUCT(($Q$12:$AA$12&lt;&gt;"")*ROUND($Q38:$AA38,15-13*ORÇAMENTO!$AF$7))))</f>
        <v>3982.54</v>
      </c>
      <c r="I38" s="561"/>
      <c r="K38" s="174"/>
      <c r="L38" s="175" t="s">
        <v>255</v>
      </c>
      <c r="M38" s="176">
        <f ca="1">IF($D38&lt;&gt;"Serviço","",IF(AUTOEVENTO="manual",$A38,IF(ISERROR(MATCH($A38,$A$15:OFFSET($A38,-1,0),0)),MAX($M$15:OFFSET(M38,-1,0))+1,INDEX($M$15:OFFSET(M38,-1,0),MATCH($A38,$A$15:OFFSET($A38,-1,0),0)))))</f>
        <v>5</v>
      </c>
      <c r="N38" s="177" t="str">
        <f ca="1">IF($D38&lt;&gt;"Serviço","",IF(AUTOEVENTO="Manual",IF($A38=0,"&lt;-- defina o número do agrupador",OFFSET(EVENTOS!$D$14,$A38,0)),OFFSET($F$15,$A38,0)))</f>
        <v>PAVIMENTAÇÃO</v>
      </c>
      <c r="O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B38" s="544">
        <f ca="1">IF(AND($D38="Serviço",AB$12&lt;&gt;0,$H38&gt;0,OR(AUTOEVENTO&lt;&gt;"manual",$M38&lt;&gt;1)), IF(Import.TipoArredondamento&lt;&gt;"TransfereGOV", ROUND(OFFSET($P38,0,AB$13),15-13*ORÇAMENTO!$AF$7)/$H38*OFFSET(ORÇAMENTO!$X$15,ROW(AB38)-ROW(AB$15),0), ROUND(ROUND(OFFSET($P38,0,AB$13),15-13*ORÇAMENTO!$AF$7)*OFFSET(ORÇAMENTO!$W$15,ROW(AB38)-ROW(AB$15),0),15-13*ORÇAMENTO!$AF$11)),0)</f>
        <v>0</v>
      </c>
      <c r="AC38" s="545">
        <f ca="1">IF(AND($D38="Serviço",AC$12&lt;&gt;0,$H38&gt;0,OR(AUTOEVENTO&lt;&gt;"manual",$M38&lt;&gt;1)), IF(Import.TipoArredondamento&lt;&gt;"TransfereGOV", ROUND(OFFSET($P38,0,AC$13),15-13*ORÇAMENTO!$AF$7)/$H38*OFFSET(ORÇAMENTO!$X$15,ROW(AC38)-ROW(AC$15),0), ROUND(ROUND(OFFSET($P38,0,AC$13),15-13*ORÇAMENTO!$AF$7)*OFFSET(ORÇAMENTO!$W$15,ROW(AC38)-ROW(AC$15),0),15-13*ORÇAMENTO!$AF$11)),0)</f>
        <v>0</v>
      </c>
      <c r="AD38" s="545">
        <f ca="1">IF(AND($D38="Serviço",AD$12&lt;&gt;0,$H38&gt;0,OR(AUTOEVENTO&lt;&gt;"manual",$M38&lt;&gt;1)), IF(Import.TipoArredondamento&lt;&gt;"TransfereGOV", ROUND(OFFSET($P38,0,AD$13),15-13*ORÇAMENTO!$AF$7)/$H38*OFFSET(ORÇAMENTO!$X$15,ROW(AD38)-ROW(AD$15),0), ROUND(ROUND(OFFSET($P38,0,AD$13),15-13*ORÇAMENTO!$AF$7)*OFFSET(ORÇAMENTO!$W$15,ROW(AD38)-ROW(AD$15),0),15-13*ORÇAMENTO!$AF$11)),0)</f>
        <v>0</v>
      </c>
      <c r="AE38" s="545">
        <f ca="1">IF(AND($D38="Serviço",AE$12&lt;&gt;0,$H38&gt;0,OR(AUTOEVENTO&lt;&gt;"manual",$M38&lt;&gt;1)), IF(Import.TipoArredondamento&lt;&gt;"TransfereGOV", ROUND(OFFSET($P38,0,AE$13),15-13*ORÇAMENTO!$AF$7)/$H38*OFFSET(ORÇAMENTO!$X$15,ROW(AE38)-ROW(AE$15),0), ROUND(ROUND(OFFSET($P38,0,AE$13),15-13*ORÇAMENTO!$AF$7)*OFFSET(ORÇAMENTO!$W$15,ROW(AE38)-ROW(AE$15),0),15-13*ORÇAMENTO!$AF$11)),0)</f>
        <v>0</v>
      </c>
      <c r="AF38" s="545">
        <f ca="1">IF(AND($D38="Serviço",AF$12&lt;&gt;0,$H38&gt;0,OR(AUTOEVENTO&lt;&gt;"manual",$M38&lt;&gt;1)), IF(Import.TipoArredondamento&lt;&gt;"TransfereGOV", ROUND(OFFSET($P38,0,AF$13),15-13*ORÇAMENTO!$AF$7)/$H38*OFFSET(ORÇAMENTO!$X$15,ROW(AF38)-ROW(AF$15),0), ROUND(ROUND(OFFSET($P38,0,AF$13),15-13*ORÇAMENTO!$AF$7)*OFFSET(ORÇAMENTO!$W$15,ROW(AF38)-ROW(AF$15),0),15-13*ORÇAMENTO!$AF$11)),0)</f>
        <v>0</v>
      </c>
      <c r="AG38" s="545">
        <f ca="1">IF(AND($D38="Serviço",AG$12&lt;&gt;0,$H38&gt;0,OR(AUTOEVENTO&lt;&gt;"manual",$M38&lt;&gt;1)), IF(Import.TipoArredondamento&lt;&gt;"TransfereGOV", ROUND(OFFSET($P38,0,AG$13),15-13*ORÇAMENTO!$AF$7)/$H38*OFFSET(ORÇAMENTO!$X$15,ROW(AG38)-ROW(AG$15),0), ROUND(ROUND(OFFSET($P38,0,AG$13),15-13*ORÇAMENTO!$AF$7)*OFFSET(ORÇAMENTO!$W$15,ROW(AG38)-ROW(AG$15),0),15-13*ORÇAMENTO!$AF$11)),0)</f>
        <v>0</v>
      </c>
      <c r="AH38" s="545">
        <f ca="1">IF(AND($D38="Serviço",AH$12&lt;&gt;0,$H38&gt;0,OR(AUTOEVENTO&lt;&gt;"manual",$M38&lt;&gt;1)), IF(Import.TipoArredondamento&lt;&gt;"TransfereGOV", ROUND(OFFSET($P38,0,AH$13),15-13*ORÇAMENTO!$AF$7)/$H38*OFFSET(ORÇAMENTO!$X$15,ROW(AH38)-ROW(AH$15),0), ROUND(ROUND(OFFSET($P38,0,AH$13),15-13*ORÇAMENTO!$AF$7)*OFFSET(ORÇAMENTO!$W$15,ROW(AH38)-ROW(AH$15),0),15-13*ORÇAMENTO!$AF$11)),0)</f>
        <v>0</v>
      </c>
      <c r="AI38" s="545">
        <f ca="1">IF(AND($D38="Serviço",AI$12&lt;&gt;0,$H38&gt;0,OR(AUTOEVENTO&lt;&gt;"manual",$M38&lt;&gt;1)), IF(Import.TipoArredondamento&lt;&gt;"TransfereGOV", ROUND(OFFSET($P38,0,AI$13),15-13*ORÇAMENTO!$AF$7)/$H38*OFFSET(ORÇAMENTO!$X$15,ROW(AI38)-ROW(AI$15),0), ROUND(ROUND(OFFSET($P38,0,AI$13),15-13*ORÇAMENTO!$AF$7)*OFFSET(ORÇAMENTO!$W$15,ROW(AI38)-ROW(AI$15),0),15-13*ORÇAMENTO!$AF$11)),0)</f>
        <v>0</v>
      </c>
      <c r="AJ38" s="545">
        <f ca="1">IF(AND($D38="Serviço",AJ$12&lt;&gt;0,$H38&gt;0,OR(AUTOEVENTO&lt;&gt;"manual",$M38&lt;&gt;1)), IF(Import.TipoArredondamento&lt;&gt;"TransfereGOV", ROUND(OFFSET($P38,0,AJ$13),15-13*ORÇAMENTO!$AF$7)/$H38*OFFSET(ORÇAMENTO!$X$15,ROW(AJ38)-ROW(AJ$15),0), ROUND(ROUND(OFFSET($P38,0,AJ$13),15-13*ORÇAMENTO!$AF$7)*OFFSET(ORÇAMENTO!$W$15,ROW(AJ38)-ROW(AJ$15),0),15-13*ORÇAMENTO!$AF$11)),0)</f>
        <v>0</v>
      </c>
      <c r="AK38" s="546">
        <f ca="1">IF(AND($D38="Serviço",AK$12&lt;&gt;0,$H38&gt;0,OR(AUTOEVENTO&lt;&gt;"manual",$M38&lt;&gt;1)), IF(Import.TipoArredondamento&lt;&gt;"TransfereGOV", ROUND(OFFSET($P38,0,AK$13),15-13*ORÇAMENTO!$AF$7)/$H38*OFFSET(ORÇAMENTO!$X$15,ROW(AK38)-ROW(AK$15),0), ROUND(ROUND(OFFSET($P38,0,AK$13),15-13*ORÇAMENTO!$AF$7)*OFFSET(ORÇAMENTO!$W$15,ROW(AK38)-ROW(AK$15),0),15-13*ORÇAMENTO!$AF$11)),0)</f>
        <v>0</v>
      </c>
      <c r="AM38" s="181">
        <f ca="1">IF($D38&lt;&gt;"Serviço",0,IF(AND(AUTOEVENTO="Manual",$M38=1),0,IF(OFFSET(CRONOPLE!$F$14,$M38,AM$13)="",10^12,OFFSET(CRONOPLE!$F$14,$M38,AM$13))))</f>
        <v>1000000000000</v>
      </c>
      <c r="AN38" s="181">
        <f ca="1">IF($D38&lt;&gt;"Serviço",0,IF(AND(AUTOEVENTO="Manual",$M38=1),0,IF(OFFSET(CRONOPLE!$F$14,$M38,AN$13)="",10^12,OFFSET(CRONOPLE!$F$14,$M38,AN$13))))</f>
        <v>1000000000000</v>
      </c>
      <c r="AO38" s="181">
        <f ca="1">IF($D38&lt;&gt;"Serviço",0,IF(AND(AUTOEVENTO="Manual",$M38=1),0,IF(OFFSET(CRONOPLE!$F$14,$M38,AO$13)="",10^12,OFFSET(CRONOPLE!$F$14,$M38,AO$13))))</f>
        <v>1000000000000</v>
      </c>
      <c r="AP38" s="181">
        <f ca="1">IF($D38&lt;&gt;"Serviço",0,IF(AND(AUTOEVENTO="Manual",$M38=1),0,IF(OFFSET(CRONOPLE!$F$14,$M38,AP$13)="",10^12,OFFSET(CRONOPLE!$F$14,$M38,AP$13))))</f>
        <v>1000000000000</v>
      </c>
      <c r="AQ38" s="181">
        <f ca="1">IF($D38&lt;&gt;"Serviço",0,IF(AND(AUTOEVENTO="Manual",$M38=1),0,IF(OFFSET(CRONOPLE!$F$14,$M38,AQ$13)="",10^12,OFFSET(CRONOPLE!$F$14,$M38,AQ$13))))</f>
        <v>1000000000000</v>
      </c>
      <c r="AR38" s="181">
        <f ca="1">IF($D38&lt;&gt;"Serviço",0,IF(AND(AUTOEVENTO="Manual",$M38=1),0,IF(OFFSET(CRONOPLE!$F$14,$M38,AR$13)="",10^12,OFFSET(CRONOPLE!$F$14,$M38,AR$13))))</f>
        <v>1000000000000</v>
      </c>
      <c r="AS38" s="181">
        <f ca="1">IF($D38&lt;&gt;"Serviço",0,IF(AND(AUTOEVENTO="Manual",$M38=1),0,IF(OFFSET(CRONOPLE!$F$14,$M38,AS$13)="",10^12,OFFSET(CRONOPLE!$F$14,$M38,AS$13))))</f>
        <v>1000000000000</v>
      </c>
      <c r="AT38" s="181">
        <f ca="1">IF($D38&lt;&gt;"Serviço",0,IF(AND(AUTOEVENTO="Manual",$M38=1),0,IF(OFFSET(CRONOPLE!$F$14,$M38,AT$13)="",10^12,OFFSET(CRONOPLE!$F$14,$M38,AT$13))))</f>
        <v>1000000000000</v>
      </c>
      <c r="AU38" s="181">
        <f ca="1">IF($D38&lt;&gt;"Serviço",0,IF(AND(AUTOEVENTO="Manual",$M38=1),0,IF(OFFSET(CRONOPLE!$F$14,$M38,AU$13)="",10^12,OFFSET(CRONOPLE!$F$14,$M38,AU$13))))</f>
        <v>1000000000000</v>
      </c>
      <c r="AV38" s="181">
        <f ca="1">IF($D38&lt;&gt;"Serviço",0,IF(AND(AUTOEVENTO="Manual",$M38=1),0,IF(OFFSET(CRONOPLE!$F$14,$M38,AV$13)="",10^12,OFFSET(CRONOPLE!$F$14,$M38,AV$13))))</f>
        <v>1000000000000</v>
      </c>
      <c r="AX38" s="182">
        <f ca="1">IF($D38&lt;&gt;"Serviço",0,IF(OR(AND(AUTOEVENTO="Manual",$M38=1),$M38&gt;(ROW(PLE.lastrow)-ROW(PLE.firstrow))),0,IF(OFFSET(PLE!$G$14,$M38,AX$13)="",10^12,OFFSET(PLE!$G$14,$M38,AX$13))))</f>
        <v>1000000000000</v>
      </c>
      <c r="AY38" s="182">
        <f ca="1">IF($D38&lt;&gt;"Serviço",0,IF(OR(AND(AUTOEVENTO="Manual",$M38=1),$M38&gt;(ROW(PLE.lastrow)-ROW(PLE.firstrow))),0,IF(OFFSET(PLE!$G$14,$M38,AY$13)="",10^12,OFFSET(PLE!$G$14,$M38,AY$13))))</f>
        <v>1000000000000</v>
      </c>
      <c r="AZ38" s="182">
        <f ca="1">IF($D38&lt;&gt;"Serviço",0,IF(OR(AND(AUTOEVENTO="Manual",$M38=1),$M38&gt;(ROW(PLE.lastrow)-ROW(PLE.firstrow))),0,IF(OFFSET(PLE!$G$14,$M38,AZ$13)="",10^12,OFFSET(PLE!$G$14,$M38,AZ$13))))</f>
        <v>1000000000000</v>
      </c>
      <c r="BA38" s="182">
        <f ca="1">IF($D38&lt;&gt;"Serviço",0,IF(OR(AND(AUTOEVENTO="Manual",$M38=1),$M38&gt;(ROW(PLE.lastrow)-ROW(PLE.firstrow))),0,IF(OFFSET(PLE!$G$14,$M38,BA$13)="",10^12,OFFSET(PLE!$G$14,$M38,BA$13))))</f>
        <v>1000000000000</v>
      </c>
      <c r="BB38" s="182">
        <f ca="1">IF($D38&lt;&gt;"Serviço",0,IF(OR(AND(AUTOEVENTO="Manual",$M38=1),$M38&gt;(ROW(PLE.lastrow)-ROW(PLE.firstrow))),0,IF(OFFSET(PLE!$G$14,$M38,BB$13)="",10^12,OFFSET(PLE!$G$14,$M38,BB$13))))</f>
        <v>1000000000000</v>
      </c>
      <c r="BC38" s="182">
        <f ca="1">IF($D38&lt;&gt;"Serviço",0,IF(OR(AND(AUTOEVENTO="Manual",$M38=1),$M38&gt;(ROW(PLE.lastrow)-ROW(PLE.firstrow))),0,IF(OFFSET(PLE!$G$14,$M38,BC$13)="",10^12,OFFSET(PLE!$G$14,$M38,BC$13))))</f>
        <v>1000000000000</v>
      </c>
      <c r="BD38" s="182">
        <f ca="1">IF($D38&lt;&gt;"Serviço",0,IF(OR(AND(AUTOEVENTO="Manual",$M38=1),$M38&gt;(ROW(PLE.lastrow)-ROW(PLE.firstrow))),0,IF(OFFSET(PLE!$G$14,$M38,BD$13)="",10^12,OFFSET(PLE!$G$14,$M38,BD$13))))</f>
        <v>1000000000000</v>
      </c>
      <c r="BE38" s="182">
        <f ca="1">IF($D38&lt;&gt;"Serviço",0,IF(OR(AND(AUTOEVENTO="Manual",$M38=1),$M38&gt;(ROW(PLE.lastrow)-ROW(PLE.firstrow))),0,IF(OFFSET(PLE!$G$14,$M38,BE$13)="",10^12,OFFSET(PLE!$G$14,$M38,BE$13))))</f>
        <v>1000000000000</v>
      </c>
      <c r="BF38" s="182">
        <f ca="1">IF($D38&lt;&gt;"Serviço",0,IF(OR(AND(AUTOEVENTO="Manual",$M38=1),$M38&gt;(ROW(PLE.lastrow)-ROW(PLE.firstrow))),0,IF(OFFSET(PLE!$G$14,$M38,BF$13)="",10^12,OFFSET(PLE!$G$14,$M38,BF$13))))</f>
        <v>1000000000000</v>
      </c>
      <c r="BG38" s="18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12.75" x14ac:dyDescent="0.2">
      <c r="A39" s="7" t="str">
        <f t="shared" ca="1" si="8"/>
        <v>19</v>
      </c>
      <c r="B39" s="7" t="str">
        <f ca="1">OFFSET(ORÇAMENTO!C$15,ROW(B39)-ROW(B$15),0)</f>
        <v>S</v>
      </c>
      <c r="C39" s="7" t="str">
        <f ca="1">OFFSET(ORÇAMENTO!L$15,ROW(C39)-ROW(C$15),0)</f>
        <v>F</v>
      </c>
      <c r="D39" s="118" t="str">
        <f ca="1">OFFSET(ORÇAMENTO!N$15,ROW(D39)-ROW(D$15),0)</f>
        <v>Serviço</v>
      </c>
      <c r="E39" s="119" t="str">
        <f ca="1">OFFSET(ORÇAMENTO!O$15,ROW(E39)-ROW(E$15),0)</f>
        <v>1.4.5.</v>
      </c>
      <c r="F39" s="172" t="str">
        <f ca="1">OFFSET(ORÇAMENTO!R$15,ROW(F39)-ROW(F$15),0)</f>
        <v>Pintura de ligação</v>
      </c>
      <c r="G39" s="173" t="str">
        <f ca="1">IF($D39&lt;&gt;"Serviço","",OFFSET(ORÇAMENTO!S$15,ROW(G39)-ROW(G$15),0))</f>
        <v>m²</v>
      </c>
      <c r="H39" s="124">
        <f ca="1">IF($D39&lt;&gt;"Serviço",0,IF(ACOMPANHAMENTO="BM",ROUND(OFFSET(ORÇAMENTO!AJ$15,ROW(H39)-ROW(H$15),0),15-13*ORÇAMENTO!$AF$7),SUMPRODUCT(($Q$12:$AA$12&lt;&gt;"")*ROUND($Q39:$AA39,15-13*ORÇAMENTO!$AF$7))))</f>
        <v>7965.08</v>
      </c>
      <c r="I39" s="561"/>
      <c r="K39" s="174"/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5</v>
      </c>
      <c r="N39" s="177" t="str">
        <f ca="1">IF($D39&lt;&gt;"Serviço","",IF(AUTOEVENTO="Manual",IF($A39=0,"&lt;-- defina o número do agrupador",OFFSET(EVENTOS!$D$14,$A39,0)),OFFSET($F$15,$A39,0)))</f>
        <v>PAVIMENTAÇÃO</v>
      </c>
      <c r="O39" s="178"/>
      <c r="Q39" s="178"/>
      <c r="R39" s="179"/>
      <c r="S39" s="179"/>
      <c r="T39" s="179"/>
      <c r="U39" s="179"/>
      <c r="V39" s="179"/>
      <c r="W39" s="179"/>
      <c r="X39" s="179"/>
      <c r="Y39" s="179"/>
      <c r="Z39" s="180"/>
      <c r="AB39" s="544">
        <f ca="1">IF(AND($D39="Serviço",AB$12&lt;&gt;0,$H39&gt;0,OR(AUTOEVENTO&lt;&gt;"manual",$M39&lt;&gt;1)), IF(Import.TipoArredondamento&lt;&gt;"TransfereGOV", ROUND(OFFSET($P39,0,AB$13),15-13*ORÇAMENTO!$AF$7)/$H39*OFFSET(ORÇAMENTO!$X$15,ROW(AB39)-ROW(AB$15),0), ROUND(ROUND(OFFSET($P39,0,AB$13),15-13*ORÇAMENTO!$AF$7)*OFFSET(ORÇAMENTO!$W$15,ROW(AB39)-ROW(AB$15),0),15-13*ORÇAMENTO!$AF$11)),0)</f>
        <v>0</v>
      </c>
      <c r="AC39" s="545">
        <f ca="1">IF(AND($D39="Serviço",AC$12&lt;&gt;0,$H39&gt;0,OR(AUTOEVENTO&lt;&gt;"manual",$M39&lt;&gt;1)), IF(Import.TipoArredondamento&lt;&gt;"TransfereGOV", ROUND(OFFSET($P39,0,AC$13),15-13*ORÇAMENTO!$AF$7)/$H39*OFFSET(ORÇAMENTO!$X$15,ROW(AC39)-ROW(AC$15),0), ROUND(ROUND(OFFSET($P39,0,AC$13),15-13*ORÇAMENTO!$AF$7)*OFFSET(ORÇAMENTO!$W$15,ROW(AC39)-ROW(AC$15),0),15-13*ORÇAMENTO!$AF$11)),0)</f>
        <v>0</v>
      </c>
      <c r="AD39" s="545">
        <f ca="1">IF(AND($D39="Serviço",AD$12&lt;&gt;0,$H39&gt;0,OR(AUTOEVENTO&lt;&gt;"manual",$M39&lt;&gt;1)), IF(Import.TipoArredondamento&lt;&gt;"TransfereGOV", ROUND(OFFSET($P39,0,AD$13),15-13*ORÇAMENTO!$AF$7)/$H39*OFFSET(ORÇAMENTO!$X$15,ROW(AD39)-ROW(AD$15),0), ROUND(ROUND(OFFSET($P39,0,AD$13),15-13*ORÇAMENTO!$AF$7)*OFFSET(ORÇAMENTO!$W$15,ROW(AD39)-ROW(AD$15),0),15-13*ORÇAMENTO!$AF$11)),0)</f>
        <v>0</v>
      </c>
      <c r="AE39" s="545">
        <f ca="1">IF(AND($D39="Serviço",AE$12&lt;&gt;0,$H39&gt;0,OR(AUTOEVENTO&lt;&gt;"manual",$M39&lt;&gt;1)), IF(Import.TipoArredondamento&lt;&gt;"TransfereGOV", ROUND(OFFSET($P39,0,AE$13),15-13*ORÇAMENTO!$AF$7)/$H39*OFFSET(ORÇAMENTO!$X$15,ROW(AE39)-ROW(AE$15),0), ROUND(ROUND(OFFSET($P39,0,AE$13),15-13*ORÇAMENTO!$AF$7)*OFFSET(ORÇAMENTO!$W$15,ROW(AE39)-ROW(AE$15),0),15-13*ORÇAMENTO!$AF$11)),0)</f>
        <v>0</v>
      </c>
      <c r="AF39" s="545">
        <f ca="1">IF(AND($D39="Serviço",AF$12&lt;&gt;0,$H39&gt;0,OR(AUTOEVENTO&lt;&gt;"manual",$M39&lt;&gt;1)), IF(Import.TipoArredondamento&lt;&gt;"TransfereGOV", ROUND(OFFSET($P39,0,AF$13),15-13*ORÇAMENTO!$AF$7)/$H39*OFFSET(ORÇAMENTO!$X$15,ROW(AF39)-ROW(AF$15),0), ROUND(ROUND(OFFSET($P39,0,AF$13),15-13*ORÇAMENTO!$AF$7)*OFFSET(ORÇAMENTO!$W$15,ROW(AF39)-ROW(AF$15),0),15-13*ORÇAMENTO!$AF$11)),0)</f>
        <v>0</v>
      </c>
      <c r="AG39" s="545">
        <f ca="1">IF(AND($D39="Serviço",AG$12&lt;&gt;0,$H39&gt;0,OR(AUTOEVENTO&lt;&gt;"manual",$M39&lt;&gt;1)), IF(Import.TipoArredondamento&lt;&gt;"TransfereGOV", ROUND(OFFSET($P39,0,AG$13),15-13*ORÇAMENTO!$AF$7)/$H39*OFFSET(ORÇAMENTO!$X$15,ROW(AG39)-ROW(AG$15),0), ROUND(ROUND(OFFSET($P39,0,AG$13),15-13*ORÇAMENTO!$AF$7)*OFFSET(ORÇAMENTO!$W$15,ROW(AG39)-ROW(AG$15),0),15-13*ORÇAMENTO!$AF$11)),0)</f>
        <v>0</v>
      </c>
      <c r="AH39" s="545">
        <f ca="1">IF(AND($D39="Serviço",AH$12&lt;&gt;0,$H39&gt;0,OR(AUTOEVENTO&lt;&gt;"manual",$M39&lt;&gt;1)), IF(Import.TipoArredondamento&lt;&gt;"TransfereGOV", ROUND(OFFSET($P39,0,AH$13),15-13*ORÇAMENTO!$AF$7)/$H39*OFFSET(ORÇAMENTO!$X$15,ROW(AH39)-ROW(AH$15),0), ROUND(ROUND(OFFSET($P39,0,AH$13),15-13*ORÇAMENTO!$AF$7)*OFFSET(ORÇAMENTO!$W$15,ROW(AH39)-ROW(AH$15),0),15-13*ORÇAMENTO!$AF$11)),0)</f>
        <v>0</v>
      </c>
      <c r="AI39" s="545">
        <f ca="1">IF(AND($D39="Serviço",AI$12&lt;&gt;0,$H39&gt;0,OR(AUTOEVENTO&lt;&gt;"manual",$M39&lt;&gt;1)), IF(Import.TipoArredondamento&lt;&gt;"TransfereGOV", ROUND(OFFSET($P39,0,AI$13),15-13*ORÇAMENTO!$AF$7)/$H39*OFFSET(ORÇAMENTO!$X$15,ROW(AI39)-ROW(AI$15),0), ROUND(ROUND(OFFSET($P39,0,AI$13),15-13*ORÇAMENTO!$AF$7)*OFFSET(ORÇAMENTO!$W$15,ROW(AI39)-ROW(AI$15),0),15-13*ORÇAMENTO!$AF$11)),0)</f>
        <v>0</v>
      </c>
      <c r="AJ39" s="545">
        <f ca="1">IF(AND($D39="Serviço",AJ$12&lt;&gt;0,$H39&gt;0,OR(AUTOEVENTO&lt;&gt;"manual",$M39&lt;&gt;1)), IF(Import.TipoArredondamento&lt;&gt;"TransfereGOV", ROUND(OFFSET($P39,0,AJ$13),15-13*ORÇAMENTO!$AF$7)/$H39*OFFSET(ORÇAMENTO!$X$15,ROW(AJ39)-ROW(AJ$15),0), ROUND(ROUND(OFFSET($P39,0,AJ$13),15-13*ORÇAMENTO!$AF$7)*OFFSET(ORÇAMENTO!$W$15,ROW(AJ39)-ROW(AJ$15),0),15-13*ORÇAMENTO!$AF$11)),0)</f>
        <v>0</v>
      </c>
      <c r="AK39" s="546">
        <f ca="1">IF(AND($D39="Serviço",AK$12&lt;&gt;0,$H39&gt;0,OR(AUTOEVENTO&lt;&gt;"manual",$M39&lt;&gt;1)), IF(Import.TipoArredondamento&lt;&gt;"TransfereGOV", ROUND(OFFSET($P39,0,AK$13),15-13*ORÇAMENTO!$AF$7)/$H39*OFFSET(ORÇAMENTO!$X$15,ROW(AK39)-ROW(AK$15),0), ROUND(ROUND(OFFSET($P39,0,AK$13),15-13*ORÇAMENTO!$AF$7)*OFFSET(ORÇAMENTO!$W$15,ROW(AK39)-ROW(AK$15),0),15-13*ORÇAMENTO!$AF$11)),0)</f>
        <v>0</v>
      </c>
      <c r="AM39" s="181">
        <f ca="1">IF($D39&lt;&gt;"Serviço",0,IF(AND(AUTOEVENTO="Manual",$M39=1),0,IF(OFFSET(CRONOPLE!$F$14,$M39,AM$13)="",10^12,OFFSET(CRONOPLE!$F$14,$M39,AM$13))))</f>
        <v>1000000000000</v>
      </c>
      <c r="AN39" s="181">
        <f ca="1">IF($D39&lt;&gt;"Serviço",0,IF(AND(AUTOEVENTO="Manual",$M39=1),0,IF(OFFSET(CRONOPLE!$F$14,$M39,AN$13)="",10^12,OFFSET(CRONOPLE!$F$14,$M39,AN$13))))</f>
        <v>1000000000000</v>
      </c>
      <c r="AO39" s="181">
        <f ca="1">IF($D39&lt;&gt;"Serviço",0,IF(AND(AUTOEVENTO="Manual",$M39=1),0,IF(OFFSET(CRONOPLE!$F$14,$M39,AO$13)="",10^12,OFFSET(CRONOPLE!$F$14,$M39,AO$13))))</f>
        <v>1000000000000</v>
      </c>
      <c r="AP39" s="181">
        <f ca="1">IF($D39&lt;&gt;"Serviço",0,IF(AND(AUTOEVENTO="Manual",$M39=1),0,IF(OFFSET(CRONOPLE!$F$14,$M39,AP$13)="",10^12,OFFSET(CRONOPLE!$F$14,$M39,AP$13))))</f>
        <v>1000000000000</v>
      </c>
      <c r="AQ39" s="181">
        <f ca="1">IF($D39&lt;&gt;"Serviço",0,IF(AND(AUTOEVENTO="Manual",$M39=1),0,IF(OFFSET(CRONOPLE!$F$14,$M39,AQ$13)="",10^12,OFFSET(CRONOPLE!$F$14,$M39,AQ$13))))</f>
        <v>1000000000000</v>
      </c>
      <c r="AR39" s="181">
        <f ca="1">IF($D39&lt;&gt;"Serviço",0,IF(AND(AUTOEVENTO="Manual",$M39=1),0,IF(OFFSET(CRONOPLE!$F$14,$M39,AR$13)="",10^12,OFFSET(CRONOPLE!$F$14,$M39,AR$13))))</f>
        <v>1000000000000</v>
      </c>
      <c r="AS39" s="181">
        <f ca="1">IF($D39&lt;&gt;"Serviço",0,IF(AND(AUTOEVENTO="Manual",$M39=1),0,IF(OFFSET(CRONOPLE!$F$14,$M39,AS$13)="",10^12,OFFSET(CRONOPLE!$F$14,$M39,AS$13))))</f>
        <v>1000000000000</v>
      </c>
      <c r="AT39" s="181">
        <f ca="1">IF($D39&lt;&gt;"Serviço",0,IF(AND(AUTOEVENTO="Manual",$M39=1),0,IF(OFFSET(CRONOPLE!$F$14,$M39,AT$13)="",10^12,OFFSET(CRONOPLE!$F$14,$M39,AT$13))))</f>
        <v>1000000000000</v>
      </c>
      <c r="AU39" s="181">
        <f ca="1">IF($D39&lt;&gt;"Serviço",0,IF(AND(AUTOEVENTO="Manual",$M39=1),0,IF(OFFSET(CRONOPLE!$F$14,$M39,AU$13)="",10^12,OFFSET(CRONOPLE!$F$14,$M39,AU$13))))</f>
        <v>1000000000000</v>
      </c>
      <c r="AV39" s="181">
        <f ca="1">IF($D39&lt;&gt;"Serviço",0,IF(AND(AUTOEVENTO="Manual",$M39=1),0,IF(OFFSET(CRONOPLE!$F$14,$M39,AV$13)="",10^12,OFFSET(CRONOPLE!$F$14,$M39,AV$13))))</f>
        <v>1000000000000</v>
      </c>
      <c r="AX39" s="182">
        <f ca="1">IF($D39&lt;&gt;"Serviço",0,IF(OR(AND(AUTOEVENTO="Manual",$M39=1),$M39&gt;(ROW(PLE.lastrow)-ROW(PLE.firstrow))),0,IF(OFFSET(PLE!$G$14,$M39,AX$13)="",10^12,OFFSET(PLE!$G$14,$M39,AX$13))))</f>
        <v>1000000000000</v>
      </c>
      <c r="AY39" s="182">
        <f ca="1">IF($D39&lt;&gt;"Serviço",0,IF(OR(AND(AUTOEVENTO="Manual",$M39=1),$M39&gt;(ROW(PLE.lastrow)-ROW(PLE.firstrow))),0,IF(OFFSET(PLE!$G$14,$M39,AY$13)="",10^12,OFFSET(PLE!$G$14,$M39,AY$13))))</f>
        <v>1000000000000</v>
      </c>
      <c r="AZ39" s="182">
        <f ca="1">IF($D39&lt;&gt;"Serviço",0,IF(OR(AND(AUTOEVENTO="Manual",$M39=1),$M39&gt;(ROW(PLE.lastrow)-ROW(PLE.firstrow))),0,IF(OFFSET(PLE!$G$14,$M39,AZ$13)="",10^12,OFFSET(PLE!$G$14,$M39,AZ$13))))</f>
        <v>1000000000000</v>
      </c>
      <c r="BA39" s="182">
        <f ca="1">IF($D39&lt;&gt;"Serviço",0,IF(OR(AND(AUTOEVENTO="Manual",$M39=1),$M39&gt;(ROW(PLE.lastrow)-ROW(PLE.firstrow))),0,IF(OFFSET(PLE!$G$14,$M39,BA$13)="",10^12,OFFSET(PLE!$G$14,$M39,BA$13))))</f>
        <v>1000000000000</v>
      </c>
      <c r="BB39" s="182">
        <f ca="1">IF($D39&lt;&gt;"Serviço",0,IF(OR(AND(AUTOEVENTO="Manual",$M39=1),$M39&gt;(ROW(PLE.lastrow)-ROW(PLE.firstrow))),0,IF(OFFSET(PLE!$G$14,$M39,BB$13)="",10^12,OFFSET(PLE!$G$14,$M39,BB$13))))</f>
        <v>1000000000000</v>
      </c>
      <c r="BC39" s="182">
        <f ca="1">IF($D39&lt;&gt;"Serviço",0,IF(OR(AND(AUTOEVENTO="Manual",$M39=1),$M39&gt;(ROW(PLE.lastrow)-ROW(PLE.firstrow))),0,IF(OFFSET(PLE!$G$14,$M39,BC$13)="",10^12,OFFSET(PLE!$G$14,$M39,BC$13))))</f>
        <v>1000000000000</v>
      </c>
      <c r="BD39" s="182">
        <f ca="1">IF($D39&lt;&gt;"Serviço",0,IF(OR(AND(AUTOEVENTO="Manual",$M39=1),$M39&gt;(ROW(PLE.lastrow)-ROW(PLE.firstrow))),0,IF(OFFSET(PLE!$G$14,$M39,BD$13)="",10^12,OFFSET(PLE!$G$14,$M39,BD$13))))</f>
        <v>1000000000000</v>
      </c>
      <c r="BE39" s="182">
        <f ca="1">IF($D39&lt;&gt;"Serviço",0,IF(OR(AND(AUTOEVENTO="Manual",$M39=1),$M39&gt;(ROW(PLE.lastrow)-ROW(PLE.firstrow))),0,IF(OFFSET(PLE!$G$14,$M39,BE$13)="",10^12,OFFSET(PLE!$G$14,$M39,BE$13))))</f>
        <v>1000000000000</v>
      </c>
      <c r="BF39" s="182">
        <f ca="1">IF($D39&lt;&gt;"Serviço",0,IF(OR(AND(AUTOEVENTO="Manual",$M39=1),$M39&gt;(ROW(PLE.lastrow)-ROW(PLE.firstrow))),0,IF(OFFSET(PLE!$G$14,$M39,BF$13)="",10^12,OFFSET(PLE!$G$14,$M39,BF$13))))</f>
        <v>1000000000000</v>
      </c>
      <c r="BG39" s="18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12.75" x14ac:dyDescent="0.2">
      <c r="A40" s="7" t="str">
        <f t="shared" ca="1" si="8"/>
        <v>19</v>
      </c>
      <c r="B40" s="7" t="str">
        <f ca="1">OFFSET(ORÇAMENTO!C$15,ROW(B40)-ROW(B$15),0)</f>
        <v>S</v>
      </c>
      <c r="C40" s="7" t="str">
        <f ca="1">OFFSET(ORÇAMENTO!L$15,ROW(C40)-ROW(C$15),0)</f>
        <v>F</v>
      </c>
      <c r="D40" s="118" t="str">
        <f ca="1">OFFSET(ORÇAMENTO!N$15,ROW(D40)-ROW(D$15),0)</f>
        <v>Serviço</v>
      </c>
      <c r="E40" s="119" t="str">
        <f ca="1">OFFSET(ORÇAMENTO!O$15,ROW(E40)-ROW(E$15),0)</f>
        <v>1.4.6.</v>
      </c>
      <c r="F40" s="172" t="str">
        <f ca="1">OFFSET(ORÇAMENTO!R$15,ROW(F40)-ROW(F$15),0)</f>
        <v>Concreto asfáltico - faixa C-12,5 - areia e brita comerciais</v>
      </c>
      <c r="G40" s="173" t="str">
        <f ca="1">IF($D40&lt;&gt;"Serviço","",OFFSET(ORÇAMENTO!S$15,ROW(G40)-ROW(G$15),0))</f>
        <v>t</v>
      </c>
      <c r="H40" s="124">
        <f ca="1">IF($D40&lt;&gt;"Serviço",0,IF(ACOMPANHAMENTO="BM",ROUND(OFFSET(ORÇAMENTO!AJ$15,ROW(H40)-ROW(H$15),0),15-13*ORÇAMENTO!$AF$7),SUMPRODUCT(($Q$12:$AA$12&lt;&gt;"")*ROUND($Q40:$AA40,15-13*ORÇAMENTO!$AF$7))))</f>
        <v>622.1</v>
      </c>
      <c r="I40" s="561"/>
      <c r="K40" s="174"/>
      <c r="L40" s="175" t="s">
        <v>255</v>
      </c>
      <c r="M40" s="176">
        <f ca="1">IF($D40&lt;&gt;"Serviço","",IF(AUTOEVENTO="manual",$A40,IF(ISERROR(MATCH($A40,$A$15:OFFSET($A40,-1,0),0)),MAX($M$15:OFFSET(M40,-1,0))+1,INDEX($M$15:OFFSET(M40,-1,0),MATCH($A40,$A$15:OFFSET($A40,-1,0),0)))))</f>
        <v>5</v>
      </c>
      <c r="N40" s="177" t="str">
        <f ca="1">IF($D40&lt;&gt;"Serviço","",IF(AUTOEVENTO="Manual",IF($A40=0,"&lt;-- defina o número do agrupador",OFFSET(EVENTOS!$D$14,$A40,0)),OFFSET($F$15,$A40,0)))</f>
        <v>PAVIMENTAÇÃO</v>
      </c>
      <c r="O40" s="178"/>
      <c r="Q40" s="178"/>
      <c r="R40" s="179"/>
      <c r="S40" s="179"/>
      <c r="T40" s="179"/>
      <c r="U40" s="179"/>
      <c r="V40" s="179"/>
      <c r="W40" s="179"/>
      <c r="X40" s="179"/>
      <c r="Y40" s="179"/>
      <c r="Z40" s="180"/>
      <c r="AB40" s="544">
        <f ca="1">IF(AND($D40="Serviço",AB$12&lt;&gt;0,$H40&gt;0,OR(AUTOEVENTO&lt;&gt;"manual",$M40&lt;&gt;1)), IF(Import.TipoArredondamento&lt;&gt;"TransfereGOV", ROUND(OFFSET($P40,0,AB$13),15-13*ORÇAMENTO!$AF$7)/$H40*OFFSET(ORÇAMENTO!$X$15,ROW(AB40)-ROW(AB$15),0), ROUND(ROUND(OFFSET($P40,0,AB$13),15-13*ORÇAMENTO!$AF$7)*OFFSET(ORÇAMENTO!$W$15,ROW(AB40)-ROW(AB$15),0),15-13*ORÇAMENTO!$AF$11)),0)</f>
        <v>0</v>
      </c>
      <c r="AC40" s="545">
        <f ca="1">IF(AND($D40="Serviço",AC$12&lt;&gt;0,$H40&gt;0,OR(AUTOEVENTO&lt;&gt;"manual",$M40&lt;&gt;1)), IF(Import.TipoArredondamento&lt;&gt;"TransfereGOV", ROUND(OFFSET($P40,0,AC$13),15-13*ORÇAMENTO!$AF$7)/$H40*OFFSET(ORÇAMENTO!$X$15,ROW(AC40)-ROW(AC$15),0), ROUND(ROUND(OFFSET($P40,0,AC$13),15-13*ORÇAMENTO!$AF$7)*OFFSET(ORÇAMENTO!$W$15,ROW(AC40)-ROW(AC$15),0),15-13*ORÇAMENTO!$AF$11)),0)</f>
        <v>0</v>
      </c>
      <c r="AD40" s="545">
        <f ca="1">IF(AND($D40="Serviço",AD$12&lt;&gt;0,$H40&gt;0,OR(AUTOEVENTO&lt;&gt;"manual",$M40&lt;&gt;1)), IF(Import.TipoArredondamento&lt;&gt;"TransfereGOV", ROUND(OFFSET($P40,0,AD$13),15-13*ORÇAMENTO!$AF$7)/$H40*OFFSET(ORÇAMENTO!$X$15,ROW(AD40)-ROW(AD$15),0), ROUND(ROUND(OFFSET($P40,0,AD$13),15-13*ORÇAMENTO!$AF$7)*OFFSET(ORÇAMENTO!$W$15,ROW(AD40)-ROW(AD$15),0),15-13*ORÇAMENTO!$AF$11)),0)</f>
        <v>0</v>
      </c>
      <c r="AE40" s="545">
        <f ca="1">IF(AND($D40="Serviço",AE$12&lt;&gt;0,$H40&gt;0,OR(AUTOEVENTO&lt;&gt;"manual",$M40&lt;&gt;1)), IF(Import.TipoArredondamento&lt;&gt;"TransfereGOV", ROUND(OFFSET($P40,0,AE$13),15-13*ORÇAMENTO!$AF$7)/$H40*OFFSET(ORÇAMENTO!$X$15,ROW(AE40)-ROW(AE$15),0), ROUND(ROUND(OFFSET($P40,0,AE$13),15-13*ORÇAMENTO!$AF$7)*OFFSET(ORÇAMENTO!$W$15,ROW(AE40)-ROW(AE$15),0),15-13*ORÇAMENTO!$AF$11)),0)</f>
        <v>0</v>
      </c>
      <c r="AF40" s="545">
        <f ca="1">IF(AND($D40="Serviço",AF$12&lt;&gt;0,$H40&gt;0,OR(AUTOEVENTO&lt;&gt;"manual",$M40&lt;&gt;1)), IF(Import.TipoArredondamento&lt;&gt;"TransfereGOV", ROUND(OFFSET($P40,0,AF$13),15-13*ORÇAMENTO!$AF$7)/$H40*OFFSET(ORÇAMENTO!$X$15,ROW(AF40)-ROW(AF$15),0), ROUND(ROUND(OFFSET($P40,0,AF$13),15-13*ORÇAMENTO!$AF$7)*OFFSET(ORÇAMENTO!$W$15,ROW(AF40)-ROW(AF$15),0),15-13*ORÇAMENTO!$AF$11)),0)</f>
        <v>0</v>
      </c>
      <c r="AG40" s="545">
        <f ca="1">IF(AND($D40="Serviço",AG$12&lt;&gt;0,$H40&gt;0,OR(AUTOEVENTO&lt;&gt;"manual",$M40&lt;&gt;1)), IF(Import.TipoArredondamento&lt;&gt;"TransfereGOV", ROUND(OFFSET($P40,0,AG$13),15-13*ORÇAMENTO!$AF$7)/$H40*OFFSET(ORÇAMENTO!$X$15,ROW(AG40)-ROW(AG$15),0), ROUND(ROUND(OFFSET($P40,0,AG$13),15-13*ORÇAMENTO!$AF$7)*OFFSET(ORÇAMENTO!$W$15,ROW(AG40)-ROW(AG$15),0),15-13*ORÇAMENTO!$AF$11)),0)</f>
        <v>0</v>
      </c>
      <c r="AH40" s="545">
        <f ca="1">IF(AND($D40="Serviço",AH$12&lt;&gt;0,$H40&gt;0,OR(AUTOEVENTO&lt;&gt;"manual",$M40&lt;&gt;1)), IF(Import.TipoArredondamento&lt;&gt;"TransfereGOV", ROUND(OFFSET($P40,0,AH$13),15-13*ORÇAMENTO!$AF$7)/$H40*OFFSET(ORÇAMENTO!$X$15,ROW(AH40)-ROW(AH$15),0), ROUND(ROUND(OFFSET($P40,0,AH$13),15-13*ORÇAMENTO!$AF$7)*OFFSET(ORÇAMENTO!$W$15,ROW(AH40)-ROW(AH$15),0),15-13*ORÇAMENTO!$AF$11)),0)</f>
        <v>0</v>
      </c>
      <c r="AI40" s="545">
        <f ca="1">IF(AND($D40="Serviço",AI$12&lt;&gt;0,$H40&gt;0,OR(AUTOEVENTO&lt;&gt;"manual",$M40&lt;&gt;1)), IF(Import.TipoArredondamento&lt;&gt;"TransfereGOV", ROUND(OFFSET($P40,0,AI$13),15-13*ORÇAMENTO!$AF$7)/$H40*OFFSET(ORÇAMENTO!$X$15,ROW(AI40)-ROW(AI$15),0), ROUND(ROUND(OFFSET($P40,0,AI$13),15-13*ORÇAMENTO!$AF$7)*OFFSET(ORÇAMENTO!$W$15,ROW(AI40)-ROW(AI$15),0),15-13*ORÇAMENTO!$AF$11)),0)</f>
        <v>0</v>
      </c>
      <c r="AJ40" s="545">
        <f ca="1">IF(AND($D40="Serviço",AJ$12&lt;&gt;0,$H40&gt;0,OR(AUTOEVENTO&lt;&gt;"manual",$M40&lt;&gt;1)), IF(Import.TipoArredondamento&lt;&gt;"TransfereGOV", ROUND(OFFSET($P40,0,AJ$13),15-13*ORÇAMENTO!$AF$7)/$H40*OFFSET(ORÇAMENTO!$X$15,ROW(AJ40)-ROW(AJ$15),0), ROUND(ROUND(OFFSET($P40,0,AJ$13),15-13*ORÇAMENTO!$AF$7)*OFFSET(ORÇAMENTO!$W$15,ROW(AJ40)-ROW(AJ$15),0),15-13*ORÇAMENTO!$AF$11)),0)</f>
        <v>0</v>
      </c>
      <c r="AK40" s="546">
        <f ca="1">IF(AND($D40="Serviço",AK$12&lt;&gt;0,$H40&gt;0,OR(AUTOEVENTO&lt;&gt;"manual",$M40&lt;&gt;1)), IF(Import.TipoArredondamento&lt;&gt;"TransfereGOV", ROUND(OFFSET($P40,0,AK$13),15-13*ORÇAMENTO!$AF$7)/$H40*OFFSET(ORÇAMENTO!$X$15,ROW(AK40)-ROW(AK$15),0), ROUND(ROUND(OFFSET($P40,0,AK$13),15-13*ORÇAMENTO!$AF$7)*OFFSET(ORÇAMENTO!$W$15,ROW(AK40)-ROW(AK$15),0),15-13*ORÇAMENTO!$AF$11)),0)</f>
        <v>0</v>
      </c>
      <c r="AM40" s="181">
        <f ca="1">IF($D40&lt;&gt;"Serviço",0,IF(AND(AUTOEVENTO="Manual",$M40=1),0,IF(OFFSET(CRONOPLE!$F$14,$M40,AM$13)="",10^12,OFFSET(CRONOPLE!$F$14,$M40,AM$13))))</f>
        <v>1000000000000</v>
      </c>
      <c r="AN40" s="181">
        <f ca="1">IF($D40&lt;&gt;"Serviço",0,IF(AND(AUTOEVENTO="Manual",$M40=1),0,IF(OFFSET(CRONOPLE!$F$14,$M40,AN$13)="",10^12,OFFSET(CRONOPLE!$F$14,$M40,AN$13))))</f>
        <v>1000000000000</v>
      </c>
      <c r="AO40" s="181">
        <f ca="1">IF($D40&lt;&gt;"Serviço",0,IF(AND(AUTOEVENTO="Manual",$M40=1),0,IF(OFFSET(CRONOPLE!$F$14,$M40,AO$13)="",10^12,OFFSET(CRONOPLE!$F$14,$M40,AO$13))))</f>
        <v>1000000000000</v>
      </c>
      <c r="AP40" s="181">
        <f ca="1">IF($D40&lt;&gt;"Serviço",0,IF(AND(AUTOEVENTO="Manual",$M40=1),0,IF(OFFSET(CRONOPLE!$F$14,$M40,AP$13)="",10^12,OFFSET(CRONOPLE!$F$14,$M40,AP$13))))</f>
        <v>1000000000000</v>
      </c>
      <c r="AQ40" s="181">
        <f ca="1">IF($D40&lt;&gt;"Serviço",0,IF(AND(AUTOEVENTO="Manual",$M40=1),0,IF(OFFSET(CRONOPLE!$F$14,$M40,AQ$13)="",10^12,OFFSET(CRONOPLE!$F$14,$M40,AQ$13))))</f>
        <v>1000000000000</v>
      </c>
      <c r="AR40" s="181">
        <f ca="1">IF($D40&lt;&gt;"Serviço",0,IF(AND(AUTOEVENTO="Manual",$M40=1),0,IF(OFFSET(CRONOPLE!$F$14,$M40,AR$13)="",10^12,OFFSET(CRONOPLE!$F$14,$M40,AR$13))))</f>
        <v>1000000000000</v>
      </c>
      <c r="AS40" s="181">
        <f ca="1">IF($D40&lt;&gt;"Serviço",0,IF(AND(AUTOEVENTO="Manual",$M40=1),0,IF(OFFSET(CRONOPLE!$F$14,$M40,AS$13)="",10^12,OFFSET(CRONOPLE!$F$14,$M40,AS$13))))</f>
        <v>1000000000000</v>
      </c>
      <c r="AT40" s="181">
        <f ca="1">IF($D40&lt;&gt;"Serviço",0,IF(AND(AUTOEVENTO="Manual",$M40=1),0,IF(OFFSET(CRONOPLE!$F$14,$M40,AT$13)="",10^12,OFFSET(CRONOPLE!$F$14,$M40,AT$13))))</f>
        <v>1000000000000</v>
      </c>
      <c r="AU40" s="181">
        <f ca="1">IF($D40&lt;&gt;"Serviço",0,IF(AND(AUTOEVENTO="Manual",$M40=1),0,IF(OFFSET(CRONOPLE!$F$14,$M40,AU$13)="",10^12,OFFSET(CRONOPLE!$F$14,$M40,AU$13))))</f>
        <v>1000000000000</v>
      </c>
      <c r="AV40" s="181">
        <f ca="1">IF($D40&lt;&gt;"Serviço",0,IF(AND(AUTOEVENTO="Manual",$M40=1),0,IF(OFFSET(CRONOPLE!$F$14,$M40,AV$13)="",10^12,OFFSET(CRONOPLE!$F$14,$M40,AV$13))))</f>
        <v>1000000000000</v>
      </c>
      <c r="AX40" s="182">
        <f ca="1">IF($D40&lt;&gt;"Serviço",0,IF(OR(AND(AUTOEVENTO="Manual",$M40=1),$M40&gt;(ROW(PLE.lastrow)-ROW(PLE.firstrow))),0,IF(OFFSET(PLE!$G$14,$M40,AX$13)="",10^12,OFFSET(PLE!$G$14,$M40,AX$13))))</f>
        <v>1000000000000</v>
      </c>
      <c r="AY40" s="182">
        <f ca="1">IF($D40&lt;&gt;"Serviço",0,IF(OR(AND(AUTOEVENTO="Manual",$M40=1),$M40&gt;(ROW(PLE.lastrow)-ROW(PLE.firstrow))),0,IF(OFFSET(PLE!$G$14,$M40,AY$13)="",10^12,OFFSET(PLE!$G$14,$M40,AY$13))))</f>
        <v>1000000000000</v>
      </c>
      <c r="AZ40" s="182">
        <f ca="1">IF($D40&lt;&gt;"Serviço",0,IF(OR(AND(AUTOEVENTO="Manual",$M40=1),$M40&gt;(ROW(PLE.lastrow)-ROW(PLE.firstrow))),0,IF(OFFSET(PLE!$G$14,$M40,AZ$13)="",10^12,OFFSET(PLE!$G$14,$M40,AZ$13))))</f>
        <v>1000000000000</v>
      </c>
      <c r="BA40" s="182">
        <f ca="1">IF($D40&lt;&gt;"Serviço",0,IF(OR(AND(AUTOEVENTO="Manual",$M40=1),$M40&gt;(ROW(PLE.lastrow)-ROW(PLE.firstrow))),0,IF(OFFSET(PLE!$G$14,$M40,BA$13)="",10^12,OFFSET(PLE!$G$14,$M40,BA$13))))</f>
        <v>1000000000000</v>
      </c>
      <c r="BB40" s="182">
        <f ca="1">IF($D40&lt;&gt;"Serviço",0,IF(OR(AND(AUTOEVENTO="Manual",$M40=1),$M40&gt;(ROW(PLE.lastrow)-ROW(PLE.firstrow))),0,IF(OFFSET(PLE!$G$14,$M40,BB$13)="",10^12,OFFSET(PLE!$G$14,$M40,BB$13))))</f>
        <v>1000000000000</v>
      </c>
      <c r="BC40" s="182">
        <f ca="1">IF($D40&lt;&gt;"Serviço",0,IF(OR(AND(AUTOEVENTO="Manual",$M40=1),$M40&gt;(ROW(PLE.lastrow)-ROW(PLE.firstrow))),0,IF(OFFSET(PLE!$G$14,$M40,BC$13)="",10^12,OFFSET(PLE!$G$14,$M40,BC$13))))</f>
        <v>1000000000000</v>
      </c>
      <c r="BD40" s="182">
        <f ca="1">IF($D40&lt;&gt;"Serviço",0,IF(OR(AND(AUTOEVENTO="Manual",$M40=1),$M40&gt;(ROW(PLE.lastrow)-ROW(PLE.firstrow))),0,IF(OFFSET(PLE!$G$14,$M40,BD$13)="",10^12,OFFSET(PLE!$G$14,$M40,BD$13))))</f>
        <v>1000000000000</v>
      </c>
      <c r="BE40" s="182">
        <f ca="1">IF($D40&lt;&gt;"Serviço",0,IF(OR(AND(AUTOEVENTO="Manual",$M40=1),$M40&gt;(ROW(PLE.lastrow)-ROW(PLE.firstrow))),0,IF(OFFSET(PLE!$G$14,$M40,BE$13)="",10^12,OFFSET(PLE!$G$14,$M40,BE$13))))</f>
        <v>1000000000000</v>
      </c>
      <c r="BF40" s="182">
        <f ca="1">IF($D40&lt;&gt;"Serviço",0,IF(OR(AND(AUTOEVENTO="Manual",$M40=1),$M40&gt;(ROW(PLE.lastrow)-ROW(PLE.firstrow))),0,IF(OFFSET(PLE!$G$14,$M40,BF$13)="",10^12,OFFSET(PLE!$G$14,$M40,BF$13))))</f>
        <v>1000000000000</v>
      </c>
      <c r="BG40" s="18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s="577" customFormat="1" ht="12.75" x14ac:dyDescent="0.2">
      <c r="A41" s="7" t="str">
        <f ca="1">IF(AUTOEVENTO="Manual",IF(K41&lt;&gt;"",MIN(VALUE(LEFT(K41,FIND(".",K41)-1)),COUNTA(EVENTOS.Lista)),0),IF(OR($B41&gt;AUTOEVENTO,$B41="S",$B41=0),SUBSTITUTE(OFFSET($A41,-1,0),IF($D41="Serviço",".",""),""),ROW(A41)-ROW($A$15)&amp;"."))</f>
        <v>19</v>
      </c>
      <c r="B41" s="7" t="str">
        <f ca="1">OFFSET(ORÇAMENTO!C$15,ROW(B41)-ROW(B$15),0)</f>
        <v>S</v>
      </c>
      <c r="C41" s="7" t="str">
        <f ca="1">OFFSET(ORÇAMENTO!L$15,ROW(C41)-ROW(C$15),0)</f>
        <v>F</v>
      </c>
      <c r="D41" s="118" t="str">
        <f ca="1">OFFSET(ORÇAMENTO!N$15,ROW(D41)-ROW(D$15),0)</f>
        <v>Serviço</v>
      </c>
      <c r="E41" s="119" t="str">
        <f ca="1">OFFSET(ORÇAMENTO!O$15,ROW(E41)-ROW(E$15),0)</f>
        <v>1.4.7.</v>
      </c>
      <c r="F41" s="172" t="str">
        <f ca="1">OFFSET(ORÇAMENTO!R$15,ROW(F41)-ROW(F$15),0)</f>
        <v>Transporte com caminhão basculante de 10 m³ - rodovia pavimentada</v>
      </c>
      <c r="G41" s="173" t="str">
        <f ca="1">IF($D41&lt;&gt;"Serviço","",OFFSET(ORÇAMENTO!S$15,ROW(G41)-ROW(G$15),0))</f>
        <v>tkm</v>
      </c>
      <c r="H41" s="124">
        <f ca="1">IF($D41&lt;&gt;"Serviço",0,IF(ACOMPANHAMENTO="BM",ROUND(OFFSET(ORÇAMENTO!AJ$15,ROW(H41)-ROW(H$15),0),15-13*ORÇAMENTO!$AF$7),SUMPRODUCT(($Q$12:$AA$12&lt;&gt;"")*ROUND($Q41:$AA41,15-13*ORÇAMENTO!$AF$7))))</f>
        <v>18663</v>
      </c>
      <c r="I41" s="561"/>
      <c r="K41" s="174"/>
      <c r="L41" s="175" t="s">
        <v>255</v>
      </c>
      <c r="M41" s="176">
        <f ca="1">IF($D41&lt;&gt;"Serviço","",IF(AUTOEVENTO="manual",$A41,IF(ISERROR(MATCH($A41,$A$15:OFFSET($A41,-1,0),0)),MAX($M$15:OFFSET(M41,-1,0))+1,INDEX($M$15:OFFSET(M41,-1,0),MATCH($A41,$A$15:OFFSET($A41,-1,0),0)))))</f>
        <v>5</v>
      </c>
      <c r="N41" s="177" t="str">
        <f ca="1">IF($D41&lt;&gt;"Serviço","",IF(AUTOEVENTO="Manual",IF($A41=0,"&lt;-- defina o número do agrupador",OFFSET(EVENTOS!$D$14,$A41,0)),OFFSET($F$15,$A41,0)))</f>
        <v>PAVIMENTAÇÃO</v>
      </c>
      <c r="O41" s="178"/>
      <c r="Q41" s="178"/>
      <c r="R41" s="179"/>
      <c r="S41" s="179"/>
      <c r="T41" s="179"/>
      <c r="U41" s="179"/>
      <c r="V41" s="179"/>
      <c r="W41" s="179"/>
      <c r="X41" s="179"/>
      <c r="Y41" s="179"/>
      <c r="Z41" s="180"/>
      <c r="AB41" s="544">
        <f ca="1">IF(AND($D41="Serviço",AB$12&lt;&gt;0,$H41&gt;0,OR(AUTOEVENTO&lt;&gt;"manual",$M41&lt;&gt;1)), IF(Import.TipoArredondamento&lt;&gt;"TransfereGOV", ROUND(OFFSET($P41,0,AB$13),15-13*ORÇAMENTO!$AF$7)/$H41*OFFSET(ORÇAMENTO!$X$15,ROW(AB41)-ROW(AB$15),0), ROUND(ROUND(OFFSET($P41,0,AB$13),15-13*ORÇAMENTO!$AF$7)*OFFSET(ORÇAMENTO!$W$15,ROW(AB41)-ROW(AB$15),0),15-13*ORÇAMENTO!$AF$11)),0)</f>
        <v>0</v>
      </c>
      <c r="AC41" s="545">
        <f ca="1">IF(AND($D41="Serviço",AC$12&lt;&gt;0,$H41&gt;0,OR(AUTOEVENTO&lt;&gt;"manual",$M41&lt;&gt;1)), IF(Import.TipoArredondamento&lt;&gt;"TransfereGOV", ROUND(OFFSET($P41,0,AC$13),15-13*ORÇAMENTO!$AF$7)/$H41*OFFSET(ORÇAMENTO!$X$15,ROW(AC41)-ROW(AC$15),0), ROUND(ROUND(OFFSET($P41,0,AC$13),15-13*ORÇAMENTO!$AF$7)*OFFSET(ORÇAMENTO!$W$15,ROW(AC41)-ROW(AC$15),0),15-13*ORÇAMENTO!$AF$11)),0)</f>
        <v>0</v>
      </c>
      <c r="AD41" s="545">
        <f ca="1">IF(AND($D41="Serviço",AD$12&lt;&gt;0,$H41&gt;0,OR(AUTOEVENTO&lt;&gt;"manual",$M41&lt;&gt;1)), IF(Import.TipoArredondamento&lt;&gt;"TransfereGOV", ROUND(OFFSET($P41,0,AD$13),15-13*ORÇAMENTO!$AF$7)/$H41*OFFSET(ORÇAMENTO!$X$15,ROW(AD41)-ROW(AD$15),0), ROUND(ROUND(OFFSET($P41,0,AD$13),15-13*ORÇAMENTO!$AF$7)*OFFSET(ORÇAMENTO!$W$15,ROW(AD41)-ROW(AD$15),0),15-13*ORÇAMENTO!$AF$11)),0)</f>
        <v>0</v>
      </c>
      <c r="AE41" s="545">
        <f ca="1">IF(AND($D41="Serviço",AE$12&lt;&gt;0,$H41&gt;0,OR(AUTOEVENTO&lt;&gt;"manual",$M41&lt;&gt;1)), IF(Import.TipoArredondamento&lt;&gt;"TransfereGOV", ROUND(OFFSET($P41,0,AE$13),15-13*ORÇAMENTO!$AF$7)/$H41*OFFSET(ORÇAMENTO!$X$15,ROW(AE41)-ROW(AE$15),0), ROUND(ROUND(OFFSET($P41,0,AE$13),15-13*ORÇAMENTO!$AF$7)*OFFSET(ORÇAMENTO!$W$15,ROW(AE41)-ROW(AE$15),0),15-13*ORÇAMENTO!$AF$11)),0)</f>
        <v>0</v>
      </c>
      <c r="AF41" s="545">
        <f ca="1">IF(AND($D41="Serviço",AF$12&lt;&gt;0,$H41&gt;0,OR(AUTOEVENTO&lt;&gt;"manual",$M41&lt;&gt;1)), IF(Import.TipoArredondamento&lt;&gt;"TransfereGOV", ROUND(OFFSET($P41,0,AF$13),15-13*ORÇAMENTO!$AF$7)/$H41*OFFSET(ORÇAMENTO!$X$15,ROW(AF41)-ROW(AF$15),0), ROUND(ROUND(OFFSET($P41,0,AF$13),15-13*ORÇAMENTO!$AF$7)*OFFSET(ORÇAMENTO!$W$15,ROW(AF41)-ROW(AF$15),0),15-13*ORÇAMENTO!$AF$11)),0)</f>
        <v>0</v>
      </c>
      <c r="AG41" s="545">
        <f ca="1">IF(AND($D41="Serviço",AG$12&lt;&gt;0,$H41&gt;0,OR(AUTOEVENTO&lt;&gt;"manual",$M41&lt;&gt;1)), IF(Import.TipoArredondamento&lt;&gt;"TransfereGOV", ROUND(OFFSET($P41,0,AG$13),15-13*ORÇAMENTO!$AF$7)/$H41*OFFSET(ORÇAMENTO!$X$15,ROW(AG41)-ROW(AG$15),0), ROUND(ROUND(OFFSET($P41,0,AG$13),15-13*ORÇAMENTO!$AF$7)*OFFSET(ORÇAMENTO!$W$15,ROW(AG41)-ROW(AG$15),0),15-13*ORÇAMENTO!$AF$11)),0)</f>
        <v>0</v>
      </c>
      <c r="AH41" s="545">
        <f ca="1">IF(AND($D41="Serviço",AH$12&lt;&gt;0,$H41&gt;0,OR(AUTOEVENTO&lt;&gt;"manual",$M41&lt;&gt;1)), IF(Import.TipoArredondamento&lt;&gt;"TransfereGOV", ROUND(OFFSET($P41,0,AH$13),15-13*ORÇAMENTO!$AF$7)/$H41*OFFSET(ORÇAMENTO!$X$15,ROW(AH41)-ROW(AH$15),0), ROUND(ROUND(OFFSET($P41,0,AH$13),15-13*ORÇAMENTO!$AF$7)*OFFSET(ORÇAMENTO!$W$15,ROW(AH41)-ROW(AH$15),0),15-13*ORÇAMENTO!$AF$11)),0)</f>
        <v>0</v>
      </c>
      <c r="AI41" s="545">
        <f ca="1">IF(AND($D41="Serviço",AI$12&lt;&gt;0,$H41&gt;0,OR(AUTOEVENTO&lt;&gt;"manual",$M41&lt;&gt;1)), IF(Import.TipoArredondamento&lt;&gt;"TransfereGOV", ROUND(OFFSET($P41,0,AI$13),15-13*ORÇAMENTO!$AF$7)/$H41*OFFSET(ORÇAMENTO!$X$15,ROW(AI41)-ROW(AI$15),0), ROUND(ROUND(OFFSET($P41,0,AI$13),15-13*ORÇAMENTO!$AF$7)*OFFSET(ORÇAMENTO!$W$15,ROW(AI41)-ROW(AI$15),0),15-13*ORÇAMENTO!$AF$11)),0)</f>
        <v>0</v>
      </c>
      <c r="AJ41" s="545">
        <f ca="1">IF(AND($D41="Serviço",AJ$12&lt;&gt;0,$H41&gt;0,OR(AUTOEVENTO&lt;&gt;"manual",$M41&lt;&gt;1)), IF(Import.TipoArredondamento&lt;&gt;"TransfereGOV", ROUND(OFFSET($P41,0,AJ$13),15-13*ORÇAMENTO!$AF$7)/$H41*OFFSET(ORÇAMENTO!$X$15,ROW(AJ41)-ROW(AJ$15),0), ROUND(ROUND(OFFSET($P41,0,AJ$13),15-13*ORÇAMENTO!$AF$7)*OFFSET(ORÇAMENTO!$W$15,ROW(AJ41)-ROW(AJ$15),0),15-13*ORÇAMENTO!$AF$11)),0)</f>
        <v>0</v>
      </c>
      <c r="AK41" s="546">
        <f ca="1">IF(AND($D41="Serviço",AK$12&lt;&gt;0,$H41&gt;0,OR(AUTOEVENTO&lt;&gt;"manual",$M41&lt;&gt;1)), IF(Import.TipoArredondamento&lt;&gt;"TransfereGOV", ROUND(OFFSET($P41,0,AK$13),15-13*ORÇAMENTO!$AF$7)/$H41*OFFSET(ORÇAMENTO!$X$15,ROW(AK41)-ROW(AK$15),0), ROUND(ROUND(OFFSET($P41,0,AK$13),15-13*ORÇAMENTO!$AF$7)*OFFSET(ORÇAMENTO!$W$15,ROW(AK41)-ROW(AK$15),0),15-13*ORÇAMENTO!$AF$11)),0)</f>
        <v>0</v>
      </c>
      <c r="AM41" s="181">
        <f ca="1">IF($D41&lt;&gt;"Serviço",0,IF(AND(AUTOEVENTO="Manual",$M41=1),0,IF(OFFSET(CRONOPLE!$F$14,$M41,AM$13)="",10^12,OFFSET(CRONOPLE!$F$14,$M41,AM$13))))</f>
        <v>1000000000000</v>
      </c>
      <c r="AN41" s="181">
        <f ca="1">IF($D41&lt;&gt;"Serviço",0,IF(AND(AUTOEVENTO="Manual",$M41=1),0,IF(OFFSET(CRONOPLE!$F$14,$M41,AN$13)="",10^12,OFFSET(CRONOPLE!$F$14,$M41,AN$13))))</f>
        <v>1000000000000</v>
      </c>
      <c r="AO41" s="181">
        <f ca="1">IF($D41&lt;&gt;"Serviço",0,IF(AND(AUTOEVENTO="Manual",$M41=1),0,IF(OFFSET(CRONOPLE!$F$14,$M41,AO$13)="",10^12,OFFSET(CRONOPLE!$F$14,$M41,AO$13))))</f>
        <v>1000000000000</v>
      </c>
      <c r="AP41" s="181">
        <f ca="1">IF($D41&lt;&gt;"Serviço",0,IF(AND(AUTOEVENTO="Manual",$M41=1),0,IF(OFFSET(CRONOPLE!$F$14,$M41,AP$13)="",10^12,OFFSET(CRONOPLE!$F$14,$M41,AP$13))))</f>
        <v>1000000000000</v>
      </c>
      <c r="AQ41" s="181">
        <f ca="1">IF($D41&lt;&gt;"Serviço",0,IF(AND(AUTOEVENTO="Manual",$M41=1),0,IF(OFFSET(CRONOPLE!$F$14,$M41,AQ$13)="",10^12,OFFSET(CRONOPLE!$F$14,$M41,AQ$13))))</f>
        <v>1000000000000</v>
      </c>
      <c r="AR41" s="181">
        <f ca="1">IF($D41&lt;&gt;"Serviço",0,IF(AND(AUTOEVENTO="Manual",$M41=1),0,IF(OFFSET(CRONOPLE!$F$14,$M41,AR$13)="",10^12,OFFSET(CRONOPLE!$F$14,$M41,AR$13))))</f>
        <v>1000000000000</v>
      </c>
      <c r="AS41" s="181">
        <f ca="1">IF($D41&lt;&gt;"Serviço",0,IF(AND(AUTOEVENTO="Manual",$M41=1),0,IF(OFFSET(CRONOPLE!$F$14,$M41,AS$13)="",10^12,OFFSET(CRONOPLE!$F$14,$M41,AS$13))))</f>
        <v>1000000000000</v>
      </c>
      <c r="AT41" s="181">
        <f ca="1">IF($D41&lt;&gt;"Serviço",0,IF(AND(AUTOEVENTO="Manual",$M41=1),0,IF(OFFSET(CRONOPLE!$F$14,$M41,AT$13)="",10^12,OFFSET(CRONOPLE!$F$14,$M41,AT$13))))</f>
        <v>1000000000000</v>
      </c>
      <c r="AU41" s="181">
        <f ca="1">IF($D41&lt;&gt;"Serviço",0,IF(AND(AUTOEVENTO="Manual",$M41=1),0,IF(OFFSET(CRONOPLE!$F$14,$M41,AU$13)="",10^12,OFFSET(CRONOPLE!$F$14,$M41,AU$13))))</f>
        <v>1000000000000</v>
      </c>
      <c r="AV41" s="181">
        <f ca="1">IF($D41&lt;&gt;"Serviço",0,IF(AND(AUTOEVENTO="Manual",$M41=1),0,IF(OFFSET(CRONOPLE!$F$14,$M41,AV$13)="",10^12,OFFSET(CRONOPLE!$F$14,$M41,AV$13))))</f>
        <v>1000000000000</v>
      </c>
      <c r="AX41" s="182">
        <f ca="1">IF($D41&lt;&gt;"Serviço",0,IF(OR(AND(AUTOEVENTO="Manual",$M41=1),$M41&gt;(ROW(PLE.lastrow)-ROW(PLE.firstrow))),0,IF(OFFSET(PLE!$G$14,$M41,AX$13)="",10^12,OFFSET(PLE!$G$14,$M41,AX$13))))</f>
        <v>1000000000000</v>
      </c>
      <c r="AY41" s="182">
        <f ca="1">IF($D41&lt;&gt;"Serviço",0,IF(OR(AND(AUTOEVENTO="Manual",$M41=1),$M41&gt;(ROW(PLE.lastrow)-ROW(PLE.firstrow))),0,IF(OFFSET(PLE!$G$14,$M41,AY$13)="",10^12,OFFSET(PLE!$G$14,$M41,AY$13))))</f>
        <v>1000000000000</v>
      </c>
      <c r="AZ41" s="182">
        <f ca="1">IF($D41&lt;&gt;"Serviço",0,IF(OR(AND(AUTOEVENTO="Manual",$M41=1),$M41&gt;(ROW(PLE.lastrow)-ROW(PLE.firstrow))),0,IF(OFFSET(PLE!$G$14,$M41,AZ$13)="",10^12,OFFSET(PLE!$G$14,$M41,AZ$13))))</f>
        <v>1000000000000</v>
      </c>
      <c r="BA41" s="182">
        <f ca="1">IF($D41&lt;&gt;"Serviço",0,IF(OR(AND(AUTOEVENTO="Manual",$M41=1),$M41&gt;(ROW(PLE.lastrow)-ROW(PLE.firstrow))),0,IF(OFFSET(PLE!$G$14,$M41,BA$13)="",10^12,OFFSET(PLE!$G$14,$M41,BA$13))))</f>
        <v>1000000000000</v>
      </c>
      <c r="BB41" s="182">
        <f ca="1">IF($D41&lt;&gt;"Serviço",0,IF(OR(AND(AUTOEVENTO="Manual",$M41=1),$M41&gt;(ROW(PLE.lastrow)-ROW(PLE.firstrow))),0,IF(OFFSET(PLE!$G$14,$M41,BB$13)="",10^12,OFFSET(PLE!$G$14,$M41,BB$13))))</f>
        <v>1000000000000</v>
      </c>
      <c r="BC41" s="182">
        <f ca="1">IF($D41&lt;&gt;"Serviço",0,IF(OR(AND(AUTOEVENTO="Manual",$M41=1),$M41&gt;(ROW(PLE.lastrow)-ROW(PLE.firstrow))),0,IF(OFFSET(PLE!$G$14,$M41,BC$13)="",10^12,OFFSET(PLE!$G$14,$M41,BC$13))))</f>
        <v>1000000000000</v>
      </c>
      <c r="BD41" s="182">
        <f ca="1">IF($D41&lt;&gt;"Serviço",0,IF(OR(AND(AUTOEVENTO="Manual",$M41=1),$M41&gt;(ROW(PLE.lastrow)-ROW(PLE.firstrow))),0,IF(OFFSET(PLE!$G$14,$M41,BD$13)="",10^12,OFFSET(PLE!$G$14,$M41,BD$13))))</f>
        <v>1000000000000</v>
      </c>
      <c r="BE41" s="182">
        <f ca="1">IF($D41&lt;&gt;"Serviço",0,IF(OR(AND(AUTOEVENTO="Manual",$M41=1),$M41&gt;(ROW(PLE.lastrow)-ROW(PLE.firstrow))),0,IF(OFFSET(PLE!$G$14,$M41,BE$13)="",10^12,OFFSET(PLE!$G$14,$M41,BE$13))))</f>
        <v>1000000000000</v>
      </c>
      <c r="BF41" s="182">
        <f ca="1">IF($D41&lt;&gt;"Serviço",0,IF(OR(AND(AUTOEVENTO="Manual",$M41=1),$M41&gt;(ROW(PLE.lastrow)-ROW(PLE.firstrow))),0,IF(OFFSET(PLE!$G$14,$M41,BF$13)="",10^12,OFFSET(PLE!$G$14,$M41,BF$13))))</f>
        <v>1000000000000</v>
      </c>
      <c r="BG41" s="182">
        <f ca="1">IF($D41&lt;&gt;"Serviço",0,IF(OR(AND(AUTOEVENTO="Manual",$M41=1),$M41&gt;(ROW(PLE.lastrow)-ROW(PLE.firstrow))),0,IF(OFFSET(PLE!$G$14,$M41,BG$13)="",10^12,OFFSET(PLE!$G$14,$M41,BG$13))))</f>
        <v>1000000000000</v>
      </c>
    </row>
    <row r="42" spans="1:59" s="577" customFormat="1" ht="38.25" x14ac:dyDescent="0.2">
      <c r="A42" s="7" t="str">
        <f ca="1">IF(AUTOEVENTO="Manual",IF(K42&lt;&gt;"",MIN(VALUE(LEFT(K42,FIND(".",K42)-1)),COUNTA(EVENTOS.Lista)),0),IF(OR($B42&gt;AUTOEVENTO,$B42="S",$B42=0),SUBSTITUTE(OFFSET($A42,-1,0),IF($D42="Serviço",".",""),""),ROW(A42)-ROW($A$15)&amp;"."))</f>
        <v>19</v>
      </c>
      <c r="B42" s="7" t="str">
        <f ca="1">OFFSET(ORÇAMENTO!C$15,ROW(B42)-ROW(B$15),0)</f>
        <v>S</v>
      </c>
      <c r="C42" s="7" t="str">
        <f ca="1">OFFSET(ORÇAMENTO!L$15,ROW(C42)-ROW(C$15),0)</f>
        <v>F</v>
      </c>
      <c r="D42" s="118" t="str">
        <f ca="1">OFFSET(ORÇAMENTO!N$15,ROW(D42)-ROW(D$15),0)</f>
        <v>Serviço</v>
      </c>
      <c r="E42" s="119" t="str">
        <f ca="1">OFFSET(ORÇAMENTO!O$15,ROW(E42)-ROW(E$15),0)</f>
        <v>1.4.8.</v>
      </c>
      <c r="F42" s="172" t="str">
        <f ca="1">OFFSET(ORÇAMENTO!R$15,ROW(F42)-ROW(F$15),0)</f>
        <v>Carga, manobra e descarga de concreto asfáltico com borracha em caminhão basculante de 10 m³ - carga em usina de asfalto 100/140 t/h e descarga em vibroacabadora</v>
      </c>
      <c r="G42" s="173" t="str">
        <f ca="1">IF($D42&lt;&gt;"Serviço","",OFFSET(ORÇAMENTO!S$15,ROW(G42)-ROW(G$15),0))</f>
        <v>t</v>
      </c>
      <c r="H42" s="124">
        <f ca="1">IF($D42&lt;&gt;"Serviço",0,IF(ACOMPANHAMENTO="BM",ROUND(OFFSET(ORÇAMENTO!AJ$15,ROW(H42)-ROW(H$15),0),15-13*ORÇAMENTO!$AF$7),SUMPRODUCT(($Q$12:$AA$12&lt;&gt;"")*ROUND($Q42:$AA42,15-13*ORÇAMENTO!$AF$7))))</f>
        <v>622.1</v>
      </c>
      <c r="I42" s="561"/>
      <c r="K42" s="174"/>
      <c r="L42" s="175" t="s">
        <v>255</v>
      </c>
      <c r="M42" s="176">
        <f ca="1">IF($D42&lt;&gt;"Serviço","",IF(AUTOEVENTO="manual",$A42,IF(ISERROR(MATCH($A42,$A$15:OFFSET($A42,-1,0),0)),MAX($M$15:OFFSET(M42,-1,0))+1,INDEX($M$15:OFFSET(M42,-1,0),MATCH($A42,$A$15:OFFSET($A42,-1,0),0)))))</f>
        <v>5</v>
      </c>
      <c r="N42" s="177" t="str">
        <f ca="1">IF($D42&lt;&gt;"Serviço","",IF(AUTOEVENTO="Manual",IF($A42=0,"&lt;-- defina o número do agrupador",OFFSET(EVENTOS!$D$14,$A42,0)),OFFSET($F$15,$A42,0)))</f>
        <v>PAVIMENTAÇÃO</v>
      </c>
      <c r="O42" s="178"/>
      <c r="Q42" s="178"/>
      <c r="R42" s="179"/>
      <c r="S42" s="179"/>
      <c r="T42" s="179"/>
      <c r="U42" s="179"/>
      <c r="V42" s="179"/>
      <c r="W42" s="179"/>
      <c r="X42" s="179"/>
      <c r="Y42" s="179"/>
      <c r="Z42" s="180"/>
      <c r="AB42" s="544">
        <f ca="1">IF(AND($D42="Serviço",AB$12&lt;&gt;0,$H42&gt;0,OR(AUTOEVENTO&lt;&gt;"manual",$M42&lt;&gt;1)), IF(Import.TipoArredondamento&lt;&gt;"TransfereGOV", ROUND(OFFSET($P42,0,AB$13),15-13*ORÇAMENTO!$AF$7)/$H42*OFFSET(ORÇAMENTO!$X$15,ROW(AB42)-ROW(AB$15),0), ROUND(ROUND(OFFSET($P42,0,AB$13),15-13*ORÇAMENTO!$AF$7)*OFFSET(ORÇAMENTO!$W$15,ROW(AB42)-ROW(AB$15),0),15-13*ORÇAMENTO!$AF$11)),0)</f>
        <v>0</v>
      </c>
      <c r="AC42" s="545">
        <f ca="1">IF(AND($D42="Serviço",AC$12&lt;&gt;0,$H42&gt;0,OR(AUTOEVENTO&lt;&gt;"manual",$M42&lt;&gt;1)), IF(Import.TipoArredondamento&lt;&gt;"TransfereGOV", ROUND(OFFSET($P42,0,AC$13),15-13*ORÇAMENTO!$AF$7)/$H42*OFFSET(ORÇAMENTO!$X$15,ROW(AC42)-ROW(AC$15),0), ROUND(ROUND(OFFSET($P42,0,AC$13),15-13*ORÇAMENTO!$AF$7)*OFFSET(ORÇAMENTO!$W$15,ROW(AC42)-ROW(AC$15),0),15-13*ORÇAMENTO!$AF$11)),0)</f>
        <v>0</v>
      </c>
      <c r="AD42" s="545">
        <f ca="1">IF(AND($D42="Serviço",AD$12&lt;&gt;0,$H42&gt;0,OR(AUTOEVENTO&lt;&gt;"manual",$M42&lt;&gt;1)), IF(Import.TipoArredondamento&lt;&gt;"TransfereGOV", ROUND(OFFSET($P42,0,AD$13),15-13*ORÇAMENTO!$AF$7)/$H42*OFFSET(ORÇAMENTO!$X$15,ROW(AD42)-ROW(AD$15),0), ROUND(ROUND(OFFSET($P42,0,AD$13),15-13*ORÇAMENTO!$AF$7)*OFFSET(ORÇAMENTO!$W$15,ROW(AD42)-ROW(AD$15),0),15-13*ORÇAMENTO!$AF$11)),0)</f>
        <v>0</v>
      </c>
      <c r="AE42" s="545">
        <f ca="1">IF(AND($D42="Serviço",AE$12&lt;&gt;0,$H42&gt;0,OR(AUTOEVENTO&lt;&gt;"manual",$M42&lt;&gt;1)), IF(Import.TipoArredondamento&lt;&gt;"TransfereGOV", ROUND(OFFSET($P42,0,AE$13),15-13*ORÇAMENTO!$AF$7)/$H42*OFFSET(ORÇAMENTO!$X$15,ROW(AE42)-ROW(AE$15),0), ROUND(ROUND(OFFSET($P42,0,AE$13),15-13*ORÇAMENTO!$AF$7)*OFFSET(ORÇAMENTO!$W$15,ROW(AE42)-ROW(AE$15),0),15-13*ORÇAMENTO!$AF$11)),0)</f>
        <v>0</v>
      </c>
      <c r="AF42" s="545">
        <f ca="1">IF(AND($D42="Serviço",AF$12&lt;&gt;0,$H42&gt;0,OR(AUTOEVENTO&lt;&gt;"manual",$M42&lt;&gt;1)), IF(Import.TipoArredondamento&lt;&gt;"TransfereGOV", ROUND(OFFSET($P42,0,AF$13),15-13*ORÇAMENTO!$AF$7)/$H42*OFFSET(ORÇAMENTO!$X$15,ROW(AF42)-ROW(AF$15),0), ROUND(ROUND(OFFSET($P42,0,AF$13),15-13*ORÇAMENTO!$AF$7)*OFFSET(ORÇAMENTO!$W$15,ROW(AF42)-ROW(AF$15),0),15-13*ORÇAMENTO!$AF$11)),0)</f>
        <v>0</v>
      </c>
      <c r="AG42" s="545">
        <f ca="1">IF(AND($D42="Serviço",AG$12&lt;&gt;0,$H42&gt;0,OR(AUTOEVENTO&lt;&gt;"manual",$M42&lt;&gt;1)), IF(Import.TipoArredondamento&lt;&gt;"TransfereGOV", ROUND(OFFSET($P42,0,AG$13),15-13*ORÇAMENTO!$AF$7)/$H42*OFFSET(ORÇAMENTO!$X$15,ROW(AG42)-ROW(AG$15),0), ROUND(ROUND(OFFSET($P42,0,AG$13),15-13*ORÇAMENTO!$AF$7)*OFFSET(ORÇAMENTO!$W$15,ROW(AG42)-ROW(AG$15),0),15-13*ORÇAMENTO!$AF$11)),0)</f>
        <v>0</v>
      </c>
      <c r="AH42" s="545">
        <f ca="1">IF(AND($D42="Serviço",AH$12&lt;&gt;0,$H42&gt;0,OR(AUTOEVENTO&lt;&gt;"manual",$M42&lt;&gt;1)), IF(Import.TipoArredondamento&lt;&gt;"TransfereGOV", ROUND(OFFSET($P42,0,AH$13),15-13*ORÇAMENTO!$AF$7)/$H42*OFFSET(ORÇAMENTO!$X$15,ROW(AH42)-ROW(AH$15),0), ROUND(ROUND(OFFSET($P42,0,AH$13),15-13*ORÇAMENTO!$AF$7)*OFFSET(ORÇAMENTO!$W$15,ROW(AH42)-ROW(AH$15),0),15-13*ORÇAMENTO!$AF$11)),0)</f>
        <v>0</v>
      </c>
      <c r="AI42" s="545">
        <f ca="1">IF(AND($D42="Serviço",AI$12&lt;&gt;0,$H42&gt;0,OR(AUTOEVENTO&lt;&gt;"manual",$M42&lt;&gt;1)), IF(Import.TipoArredondamento&lt;&gt;"TransfereGOV", ROUND(OFFSET($P42,0,AI$13),15-13*ORÇAMENTO!$AF$7)/$H42*OFFSET(ORÇAMENTO!$X$15,ROW(AI42)-ROW(AI$15),0), ROUND(ROUND(OFFSET($P42,0,AI$13),15-13*ORÇAMENTO!$AF$7)*OFFSET(ORÇAMENTO!$W$15,ROW(AI42)-ROW(AI$15),0),15-13*ORÇAMENTO!$AF$11)),0)</f>
        <v>0</v>
      </c>
      <c r="AJ42" s="545">
        <f ca="1">IF(AND($D42="Serviço",AJ$12&lt;&gt;0,$H42&gt;0,OR(AUTOEVENTO&lt;&gt;"manual",$M42&lt;&gt;1)), IF(Import.TipoArredondamento&lt;&gt;"TransfereGOV", ROUND(OFFSET($P42,0,AJ$13),15-13*ORÇAMENTO!$AF$7)/$H42*OFFSET(ORÇAMENTO!$X$15,ROW(AJ42)-ROW(AJ$15),0), ROUND(ROUND(OFFSET($P42,0,AJ$13),15-13*ORÇAMENTO!$AF$7)*OFFSET(ORÇAMENTO!$W$15,ROW(AJ42)-ROW(AJ$15),0),15-13*ORÇAMENTO!$AF$11)),0)</f>
        <v>0</v>
      </c>
      <c r="AK42" s="546">
        <f ca="1">IF(AND($D42="Serviço",AK$12&lt;&gt;0,$H42&gt;0,OR(AUTOEVENTO&lt;&gt;"manual",$M42&lt;&gt;1)), IF(Import.TipoArredondamento&lt;&gt;"TransfereGOV", ROUND(OFFSET($P42,0,AK$13),15-13*ORÇAMENTO!$AF$7)/$H42*OFFSET(ORÇAMENTO!$X$15,ROW(AK42)-ROW(AK$15),0), ROUND(ROUND(OFFSET($P42,0,AK$13),15-13*ORÇAMENTO!$AF$7)*OFFSET(ORÇAMENTO!$W$15,ROW(AK42)-ROW(AK$15),0),15-13*ORÇAMENTO!$AF$11)),0)</f>
        <v>0</v>
      </c>
      <c r="AM42" s="181">
        <f ca="1">IF($D42&lt;&gt;"Serviço",0,IF(AND(AUTOEVENTO="Manual",$M42=1),0,IF(OFFSET(CRONOPLE!$F$14,$M42,AM$13)="",10^12,OFFSET(CRONOPLE!$F$14,$M42,AM$13))))</f>
        <v>1000000000000</v>
      </c>
      <c r="AN42" s="181">
        <f ca="1">IF($D42&lt;&gt;"Serviço",0,IF(AND(AUTOEVENTO="Manual",$M42=1),0,IF(OFFSET(CRONOPLE!$F$14,$M42,AN$13)="",10^12,OFFSET(CRONOPLE!$F$14,$M42,AN$13))))</f>
        <v>1000000000000</v>
      </c>
      <c r="AO42" s="181">
        <f ca="1">IF($D42&lt;&gt;"Serviço",0,IF(AND(AUTOEVENTO="Manual",$M42=1),0,IF(OFFSET(CRONOPLE!$F$14,$M42,AO$13)="",10^12,OFFSET(CRONOPLE!$F$14,$M42,AO$13))))</f>
        <v>1000000000000</v>
      </c>
      <c r="AP42" s="181">
        <f ca="1">IF($D42&lt;&gt;"Serviço",0,IF(AND(AUTOEVENTO="Manual",$M42=1),0,IF(OFFSET(CRONOPLE!$F$14,$M42,AP$13)="",10^12,OFFSET(CRONOPLE!$F$14,$M42,AP$13))))</f>
        <v>1000000000000</v>
      </c>
      <c r="AQ42" s="181">
        <f ca="1">IF($D42&lt;&gt;"Serviço",0,IF(AND(AUTOEVENTO="Manual",$M42=1),0,IF(OFFSET(CRONOPLE!$F$14,$M42,AQ$13)="",10^12,OFFSET(CRONOPLE!$F$14,$M42,AQ$13))))</f>
        <v>1000000000000</v>
      </c>
      <c r="AR42" s="181">
        <f ca="1">IF($D42&lt;&gt;"Serviço",0,IF(AND(AUTOEVENTO="Manual",$M42=1),0,IF(OFFSET(CRONOPLE!$F$14,$M42,AR$13)="",10^12,OFFSET(CRONOPLE!$F$14,$M42,AR$13))))</f>
        <v>1000000000000</v>
      </c>
      <c r="AS42" s="181">
        <f ca="1">IF($D42&lt;&gt;"Serviço",0,IF(AND(AUTOEVENTO="Manual",$M42=1),0,IF(OFFSET(CRONOPLE!$F$14,$M42,AS$13)="",10^12,OFFSET(CRONOPLE!$F$14,$M42,AS$13))))</f>
        <v>1000000000000</v>
      </c>
      <c r="AT42" s="181">
        <f ca="1">IF($D42&lt;&gt;"Serviço",0,IF(AND(AUTOEVENTO="Manual",$M42=1),0,IF(OFFSET(CRONOPLE!$F$14,$M42,AT$13)="",10^12,OFFSET(CRONOPLE!$F$14,$M42,AT$13))))</f>
        <v>1000000000000</v>
      </c>
      <c r="AU42" s="181">
        <f ca="1">IF($D42&lt;&gt;"Serviço",0,IF(AND(AUTOEVENTO="Manual",$M42=1),0,IF(OFFSET(CRONOPLE!$F$14,$M42,AU$13)="",10^12,OFFSET(CRONOPLE!$F$14,$M42,AU$13))))</f>
        <v>1000000000000</v>
      </c>
      <c r="AV42" s="181">
        <f ca="1">IF($D42&lt;&gt;"Serviço",0,IF(AND(AUTOEVENTO="Manual",$M42=1),0,IF(OFFSET(CRONOPLE!$F$14,$M42,AV$13)="",10^12,OFFSET(CRONOPLE!$F$14,$M42,AV$13))))</f>
        <v>1000000000000</v>
      </c>
      <c r="AX42" s="182">
        <f ca="1">IF($D42&lt;&gt;"Serviço",0,IF(OR(AND(AUTOEVENTO="Manual",$M42=1),$M42&gt;(ROW(PLE.lastrow)-ROW(PLE.firstrow))),0,IF(OFFSET(PLE!$G$14,$M42,AX$13)="",10^12,OFFSET(PLE!$G$14,$M42,AX$13))))</f>
        <v>1000000000000</v>
      </c>
      <c r="AY42" s="182">
        <f ca="1">IF($D42&lt;&gt;"Serviço",0,IF(OR(AND(AUTOEVENTO="Manual",$M42=1),$M42&gt;(ROW(PLE.lastrow)-ROW(PLE.firstrow))),0,IF(OFFSET(PLE!$G$14,$M42,AY$13)="",10^12,OFFSET(PLE!$G$14,$M42,AY$13))))</f>
        <v>1000000000000</v>
      </c>
      <c r="AZ42" s="182">
        <f ca="1">IF($D42&lt;&gt;"Serviço",0,IF(OR(AND(AUTOEVENTO="Manual",$M42=1),$M42&gt;(ROW(PLE.lastrow)-ROW(PLE.firstrow))),0,IF(OFFSET(PLE!$G$14,$M42,AZ$13)="",10^12,OFFSET(PLE!$G$14,$M42,AZ$13))))</f>
        <v>1000000000000</v>
      </c>
      <c r="BA42" s="182">
        <f ca="1">IF($D42&lt;&gt;"Serviço",0,IF(OR(AND(AUTOEVENTO="Manual",$M42=1),$M42&gt;(ROW(PLE.lastrow)-ROW(PLE.firstrow))),0,IF(OFFSET(PLE!$G$14,$M42,BA$13)="",10^12,OFFSET(PLE!$G$14,$M42,BA$13))))</f>
        <v>1000000000000</v>
      </c>
      <c r="BB42" s="182">
        <f ca="1">IF($D42&lt;&gt;"Serviço",0,IF(OR(AND(AUTOEVENTO="Manual",$M42=1),$M42&gt;(ROW(PLE.lastrow)-ROW(PLE.firstrow))),0,IF(OFFSET(PLE!$G$14,$M42,BB$13)="",10^12,OFFSET(PLE!$G$14,$M42,BB$13))))</f>
        <v>1000000000000</v>
      </c>
      <c r="BC42" s="182">
        <f ca="1">IF($D42&lt;&gt;"Serviço",0,IF(OR(AND(AUTOEVENTO="Manual",$M42=1),$M42&gt;(ROW(PLE.lastrow)-ROW(PLE.firstrow))),0,IF(OFFSET(PLE!$G$14,$M42,BC$13)="",10^12,OFFSET(PLE!$G$14,$M42,BC$13))))</f>
        <v>1000000000000</v>
      </c>
      <c r="BD42" s="182">
        <f ca="1">IF($D42&lt;&gt;"Serviço",0,IF(OR(AND(AUTOEVENTO="Manual",$M42=1),$M42&gt;(ROW(PLE.lastrow)-ROW(PLE.firstrow))),0,IF(OFFSET(PLE!$G$14,$M42,BD$13)="",10^12,OFFSET(PLE!$G$14,$M42,BD$13))))</f>
        <v>1000000000000</v>
      </c>
      <c r="BE42" s="182">
        <f ca="1">IF($D42&lt;&gt;"Serviço",0,IF(OR(AND(AUTOEVENTO="Manual",$M42=1),$M42&gt;(ROW(PLE.lastrow)-ROW(PLE.firstrow))),0,IF(OFFSET(PLE!$G$14,$M42,BE$13)="",10^12,OFFSET(PLE!$G$14,$M42,BE$13))))</f>
        <v>1000000000000</v>
      </c>
      <c r="BF42" s="182">
        <f ca="1">IF($D42&lt;&gt;"Serviço",0,IF(OR(AND(AUTOEVENTO="Manual",$M42=1),$M42&gt;(ROW(PLE.lastrow)-ROW(PLE.firstrow))),0,IF(OFFSET(PLE!$G$14,$M42,BF$13)="",10^12,OFFSET(PLE!$G$14,$M42,BF$13))))</f>
        <v>1000000000000</v>
      </c>
      <c r="BG42" s="182">
        <f ca="1">IF($D42&lt;&gt;"Serviço",0,IF(OR(AND(AUTOEVENTO="Manual",$M42=1),$M42&gt;(ROW(PLE.lastrow)-ROW(PLE.firstrow))),0,IF(OFFSET(PLE!$G$14,$M42,BG$13)="",10^12,OFFSET(PLE!$G$14,$M42,BG$13))))</f>
        <v>1000000000000</v>
      </c>
    </row>
    <row r="43" spans="1:59" ht="25.5" x14ac:dyDescent="0.2">
      <c r="A43" s="7" t="str">
        <f t="shared" ca="1" si="8"/>
        <v>19</v>
      </c>
      <c r="B43" s="7" t="str">
        <f ca="1">OFFSET(ORÇAMENTO!C$15,ROW(B43)-ROW(B$15),0)</f>
        <v>S</v>
      </c>
      <c r="C43" s="7" t="str">
        <f ca="1">OFFSET(ORÇAMENTO!L$15,ROW(C43)-ROW(C$15),0)</f>
        <v>F</v>
      </c>
      <c r="D43" s="118" t="str">
        <f ca="1">OFFSET(ORÇAMENTO!N$15,ROW(D43)-ROW(D$15),0)</f>
        <v>Serviço</v>
      </c>
      <c r="E43" s="119" t="str">
        <f ca="1">OFFSET(ORÇAMENTO!O$15,ROW(E43)-ROW(E$15),0)</f>
        <v>1.4.9.</v>
      </c>
      <c r="F43" s="172" t="str">
        <f ca="1">OFFSET(ORÇAMENTO!R$15,ROW(F43)-ROW(F$15),0)</f>
        <v xml:space="preserve">CIMENTO ASFÁLTICO CAP 50/70 (Base de preço: ANP CAP 50/70 + ICMS (17%) + PIS (0,65%) + COFINS (3%) </v>
      </c>
      <c r="G43" s="173" t="str">
        <f ca="1">IF($D43&lt;&gt;"Serviço","",OFFSET(ORÇAMENTO!S$15,ROW(G43)-ROW(G$15),0))</f>
        <v>TON</v>
      </c>
      <c r="H43" s="124">
        <f ca="1">IF($D43&lt;&gt;"Serviço",0,IF(ACOMPANHAMENTO="BM",ROUND(OFFSET(ORÇAMENTO!AJ$15,ROW(H43)-ROW(H$15),0),15-13*ORÇAMENTO!$AF$7),SUMPRODUCT(($Q$12:$AA$12&lt;&gt;"")*ROUND($Q43:$AA43,15-13*ORÇAMENTO!$AF$7))))</f>
        <v>34.5</v>
      </c>
      <c r="I43" s="561"/>
      <c r="K43" s="174"/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5</v>
      </c>
      <c r="N43" s="177" t="str">
        <f ca="1">IF($D43&lt;&gt;"Serviço","",IF(AUTOEVENTO="Manual",IF($A43=0,"&lt;-- defina o número do agrupador",OFFSET(EVENTOS!$D$14,$A43,0)),OFFSET($F$15,$A43,0)))</f>
        <v>PAVIMENTAÇÃO</v>
      </c>
      <c r="O43" s="178"/>
      <c r="Q43" s="178"/>
      <c r="R43" s="179"/>
      <c r="S43" s="179"/>
      <c r="T43" s="179"/>
      <c r="U43" s="179"/>
      <c r="V43" s="179"/>
      <c r="W43" s="179"/>
      <c r="X43" s="179"/>
      <c r="Y43" s="179"/>
      <c r="Z43" s="180"/>
      <c r="AB43" s="544">
        <f ca="1">IF(AND($D43="Serviço",AB$12&lt;&gt;0,$H43&gt;0,OR(AUTOEVENTO&lt;&gt;"manual",$M43&lt;&gt;1)), IF(Import.TipoArredondamento&lt;&gt;"TransfereGOV", ROUND(OFFSET($P43,0,AB$13),15-13*ORÇAMENTO!$AF$7)/$H43*OFFSET(ORÇAMENTO!$X$15,ROW(AB43)-ROW(AB$15),0), ROUND(ROUND(OFFSET($P43,0,AB$13),15-13*ORÇAMENTO!$AF$7)*OFFSET(ORÇAMENTO!$W$15,ROW(AB43)-ROW(AB$15),0),15-13*ORÇAMENTO!$AF$11)),0)</f>
        <v>0</v>
      </c>
      <c r="AC43" s="545">
        <f ca="1">IF(AND($D43="Serviço",AC$12&lt;&gt;0,$H43&gt;0,OR(AUTOEVENTO&lt;&gt;"manual",$M43&lt;&gt;1)), IF(Import.TipoArredondamento&lt;&gt;"TransfereGOV", ROUND(OFFSET($P43,0,AC$13),15-13*ORÇAMENTO!$AF$7)/$H43*OFFSET(ORÇAMENTO!$X$15,ROW(AC43)-ROW(AC$15),0), ROUND(ROUND(OFFSET($P43,0,AC$13),15-13*ORÇAMENTO!$AF$7)*OFFSET(ORÇAMENTO!$W$15,ROW(AC43)-ROW(AC$15),0),15-13*ORÇAMENTO!$AF$11)),0)</f>
        <v>0</v>
      </c>
      <c r="AD43" s="545">
        <f ca="1">IF(AND($D43="Serviço",AD$12&lt;&gt;0,$H43&gt;0,OR(AUTOEVENTO&lt;&gt;"manual",$M43&lt;&gt;1)), IF(Import.TipoArredondamento&lt;&gt;"TransfereGOV", ROUND(OFFSET($P43,0,AD$13),15-13*ORÇAMENTO!$AF$7)/$H43*OFFSET(ORÇAMENTO!$X$15,ROW(AD43)-ROW(AD$15),0), ROUND(ROUND(OFFSET($P43,0,AD$13),15-13*ORÇAMENTO!$AF$7)*OFFSET(ORÇAMENTO!$W$15,ROW(AD43)-ROW(AD$15),0),15-13*ORÇAMENTO!$AF$11)),0)</f>
        <v>0</v>
      </c>
      <c r="AE43" s="545">
        <f ca="1">IF(AND($D43="Serviço",AE$12&lt;&gt;0,$H43&gt;0,OR(AUTOEVENTO&lt;&gt;"manual",$M43&lt;&gt;1)), IF(Import.TipoArredondamento&lt;&gt;"TransfereGOV", ROUND(OFFSET($P43,0,AE$13),15-13*ORÇAMENTO!$AF$7)/$H43*OFFSET(ORÇAMENTO!$X$15,ROW(AE43)-ROW(AE$15),0), ROUND(ROUND(OFFSET($P43,0,AE$13),15-13*ORÇAMENTO!$AF$7)*OFFSET(ORÇAMENTO!$W$15,ROW(AE43)-ROW(AE$15),0),15-13*ORÇAMENTO!$AF$11)),0)</f>
        <v>0</v>
      </c>
      <c r="AF43" s="545">
        <f ca="1">IF(AND($D43="Serviço",AF$12&lt;&gt;0,$H43&gt;0,OR(AUTOEVENTO&lt;&gt;"manual",$M43&lt;&gt;1)), IF(Import.TipoArredondamento&lt;&gt;"TransfereGOV", ROUND(OFFSET($P43,0,AF$13),15-13*ORÇAMENTO!$AF$7)/$H43*OFFSET(ORÇAMENTO!$X$15,ROW(AF43)-ROW(AF$15),0), ROUND(ROUND(OFFSET($P43,0,AF$13),15-13*ORÇAMENTO!$AF$7)*OFFSET(ORÇAMENTO!$W$15,ROW(AF43)-ROW(AF$15),0),15-13*ORÇAMENTO!$AF$11)),0)</f>
        <v>0</v>
      </c>
      <c r="AG43" s="545">
        <f ca="1">IF(AND($D43="Serviço",AG$12&lt;&gt;0,$H43&gt;0,OR(AUTOEVENTO&lt;&gt;"manual",$M43&lt;&gt;1)), IF(Import.TipoArredondamento&lt;&gt;"TransfereGOV", ROUND(OFFSET($P43,0,AG$13),15-13*ORÇAMENTO!$AF$7)/$H43*OFFSET(ORÇAMENTO!$X$15,ROW(AG43)-ROW(AG$15),0), ROUND(ROUND(OFFSET($P43,0,AG$13),15-13*ORÇAMENTO!$AF$7)*OFFSET(ORÇAMENTO!$W$15,ROW(AG43)-ROW(AG$15),0),15-13*ORÇAMENTO!$AF$11)),0)</f>
        <v>0</v>
      </c>
      <c r="AH43" s="545">
        <f ca="1">IF(AND($D43="Serviço",AH$12&lt;&gt;0,$H43&gt;0,OR(AUTOEVENTO&lt;&gt;"manual",$M43&lt;&gt;1)), IF(Import.TipoArredondamento&lt;&gt;"TransfereGOV", ROUND(OFFSET($P43,0,AH$13),15-13*ORÇAMENTO!$AF$7)/$H43*OFFSET(ORÇAMENTO!$X$15,ROW(AH43)-ROW(AH$15),0), ROUND(ROUND(OFFSET($P43,0,AH$13),15-13*ORÇAMENTO!$AF$7)*OFFSET(ORÇAMENTO!$W$15,ROW(AH43)-ROW(AH$15),0),15-13*ORÇAMENTO!$AF$11)),0)</f>
        <v>0</v>
      </c>
      <c r="AI43" s="545">
        <f ca="1">IF(AND($D43="Serviço",AI$12&lt;&gt;0,$H43&gt;0,OR(AUTOEVENTO&lt;&gt;"manual",$M43&lt;&gt;1)), IF(Import.TipoArredondamento&lt;&gt;"TransfereGOV", ROUND(OFFSET($P43,0,AI$13),15-13*ORÇAMENTO!$AF$7)/$H43*OFFSET(ORÇAMENTO!$X$15,ROW(AI43)-ROW(AI$15),0), ROUND(ROUND(OFFSET($P43,0,AI$13),15-13*ORÇAMENTO!$AF$7)*OFFSET(ORÇAMENTO!$W$15,ROW(AI43)-ROW(AI$15),0),15-13*ORÇAMENTO!$AF$11)),0)</f>
        <v>0</v>
      </c>
      <c r="AJ43" s="545">
        <f ca="1">IF(AND($D43="Serviço",AJ$12&lt;&gt;0,$H43&gt;0,OR(AUTOEVENTO&lt;&gt;"manual",$M43&lt;&gt;1)), IF(Import.TipoArredondamento&lt;&gt;"TransfereGOV", ROUND(OFFSET($P43,0,AJ$13),15-13*ORÇAMENTO!$AF$7)/$H43*OFFSET(ORÇAMENTO!$X$15,ROW(AJ43)-ROW(AJ$15),0), ROUND(ROUND(OFFSET($P43,0,AJ$13),15-13*ORÇAMENTO!$AF$7)*OFFSET(ORÇAMENTO!$W$15,ROW(AJ43)-ROW(AJ$15),0),15-13*ORÇAMENTO!$AF$11)),0)</f>
        <v>0</v>
      </c>
      <c r="AK43" s="546">
        <f ca="1">IF(AND($D43="Serviço",AK$12&lt;&gt;0,$H43&gt;0,OR(AUTOEVENTO&lt;&gt;"manual",$M43&lt;&gt;1)), IF(Import.TipoArredondamento&lt;&gt;"TransfereGOV", ROUND(OFFSET($P43,0,AK$13),15-13*ORÇAMENTO!$AF$7)/$H43*OFFSET(ORÇAMENTO!$X$15,ROW(AK43)-ROW(AK$15),0), ROUND(ROUND(OFFSET($P43,0,AK$13),15-13*ORÇAMENTO!$AF$7)*OFFSET(ORÇAMENTO!$W$15,ROW(AK43)-ROW(AK$15),0),15-13*ORÇAMENTO!$AF$11)),0)</f>
        <v>0</v>
      </c>
      <c r="AM43" s="181">
        <f ca="1">IF($D43&lt;&gt;"Serviço",0,IF(AND(AUTOEVENTO="Manual",$M43=1),0,IF(OFFSET(CRONOPLE!$F$14,$M43,AM$13)="",10^12,OFFSET(CRONOPLE!$F$14,$M43,AM$13))))</f>
        <v>1000000000000</v>
      </c>
      <c r="AN43" s="181">
        <f ca="1">IF($D43&lt;&gt;"Serviço",0,IF(AND(AUTOEVENTO="Manual",$M43=1),0,IF(OFFSET(CRONOPLE!$F$14,$M43,AN$13)="",10^12,OFFSET(CRONOPLE!$F$14,$M43,AN$13))))</f>
        <v>1000000000000</v>
      </c>
      <c r="AO43" s="181">
        <f ca="1">IF($D43&lt;&gt;"Serviço",0,IF(AND(AUTOEVENTO="Manual",$M43=1),0,IF(OFFSET(CRONOPLE!$F$14,$M43,AO$13)="",10^12,OFFSET(CRONOPLE!$F$14,$M43,AO$13))))</f>
        <v>1000000000000</v>
      </c>
      <c r="AP43" s="181">
        <f ca="1">IF($D43&lt;&gt;"Serviço",0,IF(AND(AUTOEVENTO="Manual",$M43=1),0,IF(OFFSET(CRONOPLE!$F$14,$M43,AP$13)="",10^12,OFFSET(CRONOPLE!$F$14,$M43,AP$13))))</f>
        <v>1000000000000</v>
      </c>
      <c r="AQ43" s="181">
        <f ca="1">IF($D43&lt;&gt;"Serviço",0,IF(AND(AUTOEVENTO="Manual",$M43=1),0,IF(OFFSET(CRONOPLE!$F$14,$M43,AQ$13)="",10^12,OFFSET(CRONOPLE!$F$14,$M43,AQ$13))))</f>
        <v>1000000000000</v>
      </c>
      <c r="AR43" s="181">
        <f ca="1">IF($D43&lt;&gt;"Serviço",0,IF(AND(AUTOEVENTO="Manual",$M43=1),0,IF(OFFSET(CRONOPLE!$F$14,$M43,AR$13)="",10^12,OFFSET(CRONOPLE!$F$14,$M43,AR$13))))</f>
        <v>1000000000000</v>
      </c>
      <c r="AS43" s="181">
        <f ca="1">IF($D43&lt;&gt;"Serviço",0,IF(AND(AUTOEVENTO="Manual",$M43=1),0,IF(OFFSET(CRONOPLE!$F$14,$M43,AS$13)="",10^12,OFFSET(CRONOPLE!$F$14,$M43,AS$13))))</f>
        <v>1000000000000</v>
      </c>
      <c r="AT43" s="181">
        <f ca="1">IF($D43&lt;&gt;"Serviço",0,IF(AND(AUTOEVENTO="Manual",$M43=1),0,IF(OFFSET(CRONOPLE!$F$14,$M43,AT$13)="",10^12,OFFSET(CRONOPLE!$F$14,$M43,AT$13))))</f>
        <v>1000000000000</v>
      </c>
      <c r="AU43" s="181">
        <f ca="1">IF($D43&lt;&gt;"Serviço",0,IF(AND(AUTOEVENTO="Manual",$M43=1),0,IF(OFFSET(CRONOPLE!$F$14,$M43,AU$13)="",10^12,OFFSET(CRONOPLE!$F$14,$M43,AU$13))))</f>
        <v>1000000000000</v>
      </c>
      <c r="AV43" s="181">
        <f ca="1">IF($D43&lt;&gt;"Serviço",0,IF(AND(AUTOEVENTO="Manual",$M43=1),0,IF(OFFSET(CRONOPLE!$F$14,$M43,AV$13)="",10^12,OFFSET(CRONOPLE!$F$14,$M43,AV$13))))</f>
        <v>1000000000000</v>
      </c>
      <c r="AX43" s="182">
        <f ca="1">IF($D43&lt;&gt;"Serviço",0,IF(OR(AND(AUTOEVENTO="Manual",$M43=1),$M43&gt;(ROW(PLE.lastrow)-ROW(PLE.firstrow))),0,IF(OFFSET(PLE!$G$14,$M43,AX$13)="",10^12,OFFSET(PLE!$G$14,$M43,AX$13))))</f>
        <v>1000000000000</v>
      </c>
      <c r="AY43" s="182">
        <f ca="1">IF($D43&lt;&gt;"Serviço",0,IF(OR(AND(AUTOEVENTO="Manual",$M43=1),$M43&gt;(ROW(PLE.lastrow)-ROW(PLE.firstrow))),0,IF(OFFSET(PLE!$G$14,$M43,AY$13)="",10^12,OFFSET(PLE!$G$14,$M43,AY$13))))</f>
        <v>1000000000000</v>
      </c>
      <c r="AZ43" s="182">
        <f ca="1">IF($D43&lt;&gt;"Serviço",0,IF(OR(AND(AUTOEVENTO="Manual",$M43=1),$M43&gt;(ROW(PLE.lastrow)-ROW(PLE.firstrow))),0,IF(OFFSET(PLE!$G$14,$M43,AZ$13)="",10^12,OFFSET(PLE!$G$14,$M43,AZ$13))))</f>
        <v>1000000000000</v>
      </c>
      <c r="BA43" s="182">
        <f ca="1">IF($D43&lt;&gt;"Serviço",0,IF(OR(AND(AUTOEVENTO="Manual",$M43=1),$M43&gt;(ROW(PLE.lastrow)-ROW(PLE.firstrow))),0,IF(OFFSET(PLE!$G$14,$M43,BA$13)="",10^12,OFFSET(PLE!$G$14,$M43,BA$13))))</f>
        <v>1000000000000</v>
      </c>
      <c r="BB43" s="182">
        <f ca="1">IF($D43&lt;&gt;"Serviço",0,IF(OR(AND(AUTOEVENTO="Manual",$M43=1),$M43&gt;(ROW(PLE.lastrow)-ROW(PLE.firstrow))),0,IF(OFFSET(PLE!$G$14,$M43,BB$13)="",10^12,OFFSET(PLE!$G$14,$M43,BB$13))))</f>
        <v>1000000000000</v>
      </c>
      <c r="BC43" s="182">
        <f ca="1">IF($D43&lt;&gt;"Serviço",0,IF(OR(AND(AUTOEVENTO="Manual",$M43=1),$M43&gt;(ROW(PLE.lastrow)-ROW(PLE.firstrow))),0,IF(OFFSET(PLE!$G$14,$M43,BC$13)="",10^12,OFFSET(PLE!$G$14,$M43,BC$13))))</f>
        <v>1000000000000</v>
      </c>
      <c r="BD43" s="182">
        <f ca="1">IF($D43&lt;&gt;"Serviço",0,IF(OR(AND(AUTOEVENTO="Manual",$M43=1),$M43&gt;(ROW(PLE.lastrow)-ROW(PLE.firstrow))),0,IF(OFFSET(PLE!$G$14,$M43,BD$13)="",10^12,OFFSET(PLE!$G$14,$M43,BD$13))))</f>
        <v>1000000000000</v>
      </c>
      <c r="BE43" s="182">
        <f ca="1">IF($D43&lt;&gt;"Serviço",0,IF(OR(AND(AUTOEVENTO="Manual",$M43=1),$M43&gt;(ROW(PLE.lastrow)-ROW(PLE.firstrow))),0,IF(OFFSET(PLE!$G$14,$M43,BE$13)="",10^12,OFFSET(PLE!$G$14,$M43,BE$13))))</f>
        <v>1000000000000</v>
      </c>
      <c r="BF43" s="182">
        <f ca="1">IF($D43&lt;&gt;"Serviço",0,IF(OR(AND(AUTOEVENTO="Manual",$M43=1),$M43&gt;(ROW(PLE.lastrow)-ROW(PLE.firstrow))),0,IF(OFFSET(PLE!$G$14,$M43,BF$13)="",10^12,OFFSET(PLE!$G$14,$M43,BF$13))))</f>
        <v>1000000000000</v>
      </c>
      <c r="BG43" s="18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25.5" x14ac:dyDescent="0.2">
      <c r="A44" s="7" t="str">
        <f t="shared" ca="1" si="8"/>
        <v>19</v>
      </c>
      <c r="B44" s="7" t="str">
        <f ca="1">OFFSET(ORÇAMENTO!C$15,ROW(B44)-ROW(B$15),0)</f>
        <v>S</v>
      </c>
      <c r="C44" s="7" t="str">
        <f ca="1">OFFSET(ORÇAMENTO!L$15,ROW(C44)-ROW(C$15),0)</f>
        <v>F</v>
      </c>
      <c r="D44" s="118" t="str">
        <f ca="1">OFFSET(ORÇAMENTO!N$15,ROW(D44)-ROW(D$15),0)</f>
        <v>Serviço</v>
      </c>
      <c r="E44" s="119" t="str">
        <f ca="1">OFFSET(ORÇAMENTO!O$15,ROW(E44)-ROW(E$15),0)</f>
        <v>1.4.10.</v>
      </c>
      <c r="F44" s="172" t="str">
        <f ca="1">OFFSET(ORÇAMENTO!R$15,ROW(F44)-ROW(F$15),0)</f>
        <v xml:space="preserve">EMULSÃO ASFÁLTICA RR-2C ( Base de preço: ANP EMULSÃO RR-2C + ICMS (17%) + PIS (0,65%) + COFINS (3%) </v>
      </c>
      <c r="G44" s="173" t="str">
        <f ca="1">IF($D44&lt;&gt;"Serviço","",OFFSET(ORÇAMENTO!S$15,ROW(G44)-ROW(G$15),0))</f>
        <v>LITRO</v>
      </c>
      <c r="H44" s="124">
        <f ca="1">IF($D44&lt;&gt;"Serviço",0,IF(ACOMPANHAMENTO="BM",ROUND(OFFSET(ORÇAMENTO!AJ$15,ROW(H44)-ROW(H$15),0),15-13*ORÇAMENTO!$AF$7),SUMPRODUCT(($Q$12:$AA$12&lt;&gt;"")*ROUND($Q44:$AA44,15-13*ORÇAMENTO!$AF$7))))</f>
        <v>3584.29</v>
      </c>
      <c r="I44" s="561"/>
      <c r="K44" s="174"/>
      <c r="L44" s="175" t="s">
        <v>255</v>
      </c>
      <c r="M44" s="176">
        <f ca="1">IF($D44&lt;&gt;"Serviço","",IF(AUTOEVENTO="manual",$A44,IF(ISERROR(MATCH($A44,$A$15:OFFSET($A44,-1,0),0)),MAX($M$15:OFFSET(M44,-1,0))+1,INDEX($M$15:OFFSET(M44,-1,0),MATCH($A44,$A$15:OFFSET($A44,-1,0),0)))))</f>
        <v>5</v>
      </c>
      <c r="N44" s="177" t="str">
        <f ca="1">IF($D44&lt;&gt;"Serviço","",IF(AUTOEVENTO="Manual",IF($A44=0,"&lt;-- defina o número do agrupador",OFFSET(EVENTOS!$D$14,$A44,0)),OFFSET($F$15,$A44,0)))</f>
        <v>PAVIMENTAÇÃO</v>
      </c>
      <c r="O44" s="178"/>
      <c r="Q44" s="178"/>
      <c r="R44" s="179"/>
      <c r="S44" s="179"/>
      <c r="T44" s="179"/>
      <c r="U44" s="179"/>
      <c r="V44" s="179"/>
      <c r="W44" s="179"/>
      <c r="X44" s="179"/>
      <c r="Y44" s="179"/>
      <c r="Z44" s="180"/>
      <c r="AB44" s="544">
        <f ca="1">IF(AND($D44="Serviço",AB$12&lt;&gt;0,$H44&gt;0,OR(AUTOEVENTO&lt;&gt;"manual",$M44&lt;&gt;1)), IF(Import.TipoArredondamento&lt;&gt;"TransfereGOV", ROUND(OFFSET($P44,0,AB$13),15-13*ORÇAMENTO!$AF$7)/$H44*OFFSET(ORÇAMENTO!$X$15,ROW(AB44)-ROW(AB$15),0), ROUND(ROUND(OFFSET($P44,0,AB$13),15-13*ORÇAMENTO!$AF$7)*OFFSET(ORÇAMENTO!$W$15,ROW(AB44)-ROW(AB$15),0),15-13*ORÇAMENTO!$AF$11)),0)</f>
        <v>0</v>
      </c>
      <c r="AC44" s="545">
        <f ca="1">IF(AND($D44="Serviço",AC$12&lt;&gt;0,$H44&gt;0,OR(AUTOEVENTO&lt;&gt;"manual",$M44&lt;&gt;1)), IF(Import.TipoArredondamento&lt;&gt;"TransfereGOV", ROUND(OFFSET($P44,0,AC$13),15-13*ORÇAMENTO!$AF$7)/$H44*OFFSET(ORÇAMENTO!$X$15,ROW(AC44)-ROW(AC$15),0), ROUND(ROUND(OFFSET($P44,0,AC$13),15-13*ORÇAMENTO!$AF$7)*OFFSET(ORÇAMENTO!$W$15,ROW(AC44)-ROW(AC$15),0),15-13*ORÇAMENTO!$AF$11)),0)</f>
        <v>0</v>
      </c>
      <c r="AD44" s="545">
        <f ca="1">IF(AND($D44="Serviço",AD$12&lt;&gt;0,$H44&gt;0,OR(AUTOEVENTO&lt;&gt;"manual",$M44&lt;&gt;1)), IF(Import.TipoArredondamento&lt;&gt;"TransfereGOV", ROUND(OFFSET($P44,0,AD$13),15-13*ORÇAMENTO!$AF$7)/$H44*OFFSET(ORÇAMENTO!$X$15,ROW(AD44)-ROW(AD$15),0), ROUND(ROUND(OFFSET($P44,0,AD$13),15-13*ORÇAMENTO!$AF$7)*OFFSET(ORÇAMENTO!$W$15,ROW(AD44)-ROW(AD$15),0),15-13*ORÇAMENTO!$AF$11)),0)</f>
        <v>0</v>
      </c>
      <c r="AE44" s="545">
        <f ca="1">IF(AND($D44="Serviço",AE$12&lt;&gt;0,$H44&gt;0,OR(AUTOEVENTO&lt;&gt;"manual",$M44&lt;&gt;1)), IF(Import.TipoArredondamento&lt;&gt;"TransfereGOV", ROUND(OFFSET($P44,0,AE$13),15-13*ORÇAMENTO!$AF$7)/$H44*OFFSET(ORÇAMENTO!$X$15,ROW(AE44)-ROW(AE$15),0), ROUND(ROUND(OFFSET($P44,0,AE$13),15-13*ORÇAMENTO!$AF$7)*OFFSET(ORÇAMENTO!$W$15,ROW(AE44)-ROW(AE$15),0),15-13*ORÇAMENTO!$AF$11)),0)</f>
        <v>0</v>
      </c>
      <c r="AF44" s="545">
        <f ca="1">IF(AND($D44="Serviço",AF$12&lt;&gt;0,$H44&gt;0,OR(AUTOEVENTO&lt;&gt;"manual",$M44&lt;&gt;1)), IF(Import.TipoArredondamento&lt;&gt;"TransfereGOV", ROUND(OFFSET($P44,0,AF$13),15-13*ORÇAMENTO!$AF$7)/$H44*OFFSET(ORÇAMENTO!$X$15,ROW(AF44)-ROW(AF$15),0), ROUND(ROUND(OFFSET($P44,0,AF$13),15-13*ORÇAMENTO!$AF$7)*OFFSET(ORÇAMENTO!$W$15,ROW(AF44)-ROW(AF$15),0),15-13*ORÇAMENTO!$AF$11)),0)</f>
        <v>0</v>
      </c>
      <c r="AG44" s="545">
        <f ca="1">IF(AND($D44="Serviço",AG$12&lt;&gt;0,$H44&gt;0,OR(AUTOEVENTO&lt;&gt;"manual",$M44&lt;&gt;1)), IF(Import.TipoArredondamento&lt;&gt;"TransfereGOV", ROUND(OFFSET($P44,0,AG$13),15-13*ORÇAMENTO!$AF$7)/$H44*OFFSET(ORÇAMENTO!$X$15,ROW(AG44)-ROW(AG$15),0), ROUND(ROUND(OFFSET($P44,0,AG$13),15-13*ORÇAMENTO!$AF$7)*OFFSET(ORÇAMENTO!$W$15,ROW(AG44)-ROW(AG$15),0),15-13*ORÇAMENTO!$AF$11)),0)</f>
        <v>0</v>
      </c>
      <c r="AH44" s="545">
        <f ca="1">IF(AND($D44="Serviço",AH$12&lt;&gt;0,$H44&gt;0,OR(AUTOEVENTO&lt;&gt;"manual",$M44&lt;&gt;1)), IF(Import.TipoArredondamento&lt;&gt;"TransfereGOV", ROUND(OFFSET($P44,0,AH$13),15-13*ORÇAMENTO!$AF$7)/$H44*OFFSET(ORÇAMENTO!$X$15,ROW(AH44)-ROW(AH$15),0), ROUND(ROUND(OFFSET($P44,0,AH$13),15-13*ORÇAMENTO!$AF$7)*OFFSET(ORÇAMENTO!$W$15,ROW(AH44)-ROW(AH$15),0),15-13*ORÇAMENTO!$AF$11)),0)</f>
        <v>0</v>
      </c>
      <c r="AI44" s="545">
        <f ca="1">IF(AND($D44="Serviço",AI$12&lt;&gt;0,$H44&gt;0,OR(AUTOEVENTO&lt;&gt;"manual",$M44&lt;&gt;1)), IF(Import.TipoArredondamento&lt;&gt;"TransfereGOV", ROUND(OFFSET($P44,0,AI$13),15-13*ORÇAMENTO!$AF$7)/$H44*OFFSET(ORÇAMENTO!$X$15,ROW(AI44)-ROW(AI$15),0), ROUND(ROUND(OFFSET($P44,0,AI$13),15-13*ORÇAMENTO!$AF$7)*OFFSET(ORÇAMENTO!$W$15,ROW(AI44)-ROW(AI$15),0),15-13*ORÇAMENTO!$AF$11)),0)</f>
        <v>0</v>
      </c>
      <c r="AJ44" s="545">
        <f ca="1">IF(AND($D44="Serviço",AJ$12&lt;&gt;0,$H44&gt;0,OR(AUTOEVENTO&lt;&gt;"manual",$M44&lt;&gt;1)), IF(Import.TipoArredondamento&lt;&gt;"TransfereGOV", ROUND(OFFSET($P44,0,AJ$13),15-13*ORÇAMENTO!$AF$7)/$H44*OFFSET(ORÇAMENTO!$X$15,ROW(AJ44)-ROW(AJ$15),0), ROUND(ROUND(OFFSET($P44,0,AJ$13),15-13*ORÇAMENTO!$AF$7)*OFFSET(ORÇAMENTO!$W$15,ROW(AJ44)-ROW(AJ$15),0),15-13*ORÇAMENTO!$AF$11)),0)</f>
        <v>0</v>
      </c>
      <c r="AK44" s="546">
        <f ca="1">IF(AND($D44="Serviço",AK$12&lt;&gt;0,$H44&gt;0,OR(AUTOEVENTO&lt;&gt;"manual",$M44&lt;&gt;1)), IF(Import.TipoArredondamento&lt;&gt;"TransfereGOV", ROUND(OFFSET($P44,0,AK$13),15-13*ORÇAMENTO!$AF$7)/$H44*OFFSET(ORÇAMENTO!$X$15,ROW(AK44)-ROW(AK$15),0), ROUND(ROUND(OFFSET($P44,0,AK$13),15-13*ORÇAMENTO!$AF$7)*OFFSET(ORÇAMENTO!$W$15,ROW(AK44)-ROW(AK$15),0),15-13*ORÇAMENTO!$AF$11)),0)</f>
        <v>0</v>
      </c>
      <c r="AM44" s="181">
        <f ca="1">IF($D44&lt;&gt;"Serviço",0,IF(AND(AUTOEVENTO="Manual",$M44=1),0,IF(OFFSET(CRONOPLE!$F$14,$M44,AM$13)="",10^12,OFFSET(CRONOPLE!$F$14,$M44,AM$13))))</f>
        <v>1000000000000</v>
      </c>
      <c r="AN44" s="181">
        <f ca="1">IF($D44&lt;&gt;"Serviço",0,IF(AND(AUTOEVENTO="Manual",$M44=1),0,IF(OFFSET(CRONOPLE!$F$14,$M44,AN$13)="",10^12,OFFSET(CRONOPLE!$F$14,$M44,AN$13))))</f>
        <v>1000000000000</v>
      </c>
      <c r="AO44" s="181">
        <f ca="1">IF($D44&lt;&gt;"Serviço",0,IF(AND(AUTOEVENTO="Manual",$M44=1),0,IF(OFFSET(CRONOPLE!$F$14,$M44,AO$13)="",10^12,OFFSET(CRONOPLE!$F$14,$M44,AO$13))))</f>
        <v>1000000000000</v>
      </c>
      <c r="AP44" s="181">
        <f ca="1">IF($D44&lt;&gt;"Serviço",0,IF(AND(AUTOEVENTO="Manual",$M44=1),0,IF(OFFSET(CRONOPLE!$F$14,$M44,AP$13)="",10^12,OFFSET(CRONOPLE!$F$14,$M44,AP$13))))</f>
        <v>1000000000000</v>
      </c>
      <c r="AQ44" s="181">
        <f ca="1">IF($D44&lt;&gt;"Serviço",0,IF(AND(AUTOEVENTO="Manual",$M44=1),0,IF(OFFSET(CRONOPLE!$F$14,$M44,AQ$13)="",10^12,OFFSET(CRONOPLE!$F$14,$M44,AQ$13))))</f>
        <v>1000000000000</v>
      </c>
      <c r="AR44" s="181">
        <f ca="1">IF($D44&lt;&gt;"Serviço",0,IF(AND(AUTOEVENTO="Manual",$M44=1),0,IF(OFFSET(CRONOPLE!$F$14,$M44,AR$13)="",10^12,OFFSET(CRONOPLE!$F$14,$M44,AR$13))))</f>
        <v>1000000000000</v>
      </c>
      <c r="AS44" s="181">
        <f ca="1">IF($D44&lt;&gt;"Serviço",0,IF(AND(AUTOEVENTO="Manual",$M44=1),0,IF(OFFSET(CRONOPLE!$F$14,$M44,AS$13)="",10^12,OFFSET(CRONOPLE!$F$14,$M44,AS$13))))</f>
        <v>1000000000000</v>
      </c>
      <c r="AT44" s="181">
        <f ca="1">IF($D44&lt;&gt;"Serviço",0,IF(AND(AUTOEVENTO="Manual",$M44=1),0,IF(OFFSET(CRONOPLE!$F$14,$M44,AT$13)="",10^12,OFFSET(CRONOPLE!$F$14,$M44,AT$13))))</f>
        <v>1000000000000</v>
      </c>
      <c r="AU44" s="181">
        <f ca="1">IF($D44&lt;&gt;"Serviço",0,IF(AND(AUTOEVENTO="Manual",$M44=1),0,IF(OFFSET(CRONOPLE!$F$14,$M44,AU$13)="",10^12,OFFSET(CRONOPLE!$F$14,$M44,AU$13))))</f>
        <v>1000000000000</v>
      </c>
      <c r="AV44" s="181">
        <f ca="1">IF($D44&lt;&gt;"Serviço",0,IF(AND(AUTOEVENTO="Manual",$M44=1),0,IF(OFFSET(CRONOPLE!$F$14,$M44,AV$13)="",10^12,OFFSET(CRONOPLE!$F$14,$M44,AV$13))))</f>
        <v>1000000000000</v>
      </c>
      <c r="AX44" s="182">
        <f ca="1">IF($D44&lt;&gt;"Serviço",0,IF(OR(AND(AUTOEVENTO="Manual",$M44=1),$M44&gt;(ROW(PLE.lastrow)-ROW(PLE.firstrow))),0,IF(OFFSET(PLE!$G$14,$M44,AX$13)="",10^12,OFFSET(PLE!$G$14,$M44,AX$13))))</f>
        <v>1000000000000</v>
      </c>
      <c r="AY44" s="182">
        <f ca="1">IF($D44&lt;&gt;"Serviço",0,IF(OR(AND(AUTOEVENTO="Manual",$M44=1),$M44&gt;(ROW(PLE.lastrow)-ROW(PLE.firstrow))),0,IF(OFFSET(PLE!$G$14,$M44,AY$13)="",10^12,OFFSET(PLE!$G$14,$M44,AY$13))))</f>
        <v>1000000000000</v>
      </c>
      <c r="AZ44" s="182">
        <f ca="1">IF($D44&lt;&gt;"Serviço",0,IF(OR(AND(AUTOEVENTO="Manual",$M44=1),$M44&gt;(ROW(PLE.lastrow)-ROW(PLE.firstrow))),0,IF(OFFSET(PLE!$G$14,$M44,AZ$13)="",10^12,OFFSET(PLE!$G$14,$M44,AZ$13))))</f>
        <v>1000000000000</v>
      </c>
      <c r="BA44" s="182">
        <f ca="1">IF($D44&lt;&gt;"Serviço",0,IF(OR(AND(AUTOEVENTO="Manual",$M44=1),$M44&gt;(ROW(PLE.lastrow)-ROW(PLE.firstrow))),0,IF(OFFSET(PLE!$G$14,$M44,BA$13)="",10^12,OFFSET(PLE!$G$14,$M44,BA$13))))</f>
        <v>1000000000000</v>
      </c>
      <c r="BB44" s="182">
        <f ca="1">IF($D44&lt;&gt;"Serviço",0,IF(OR(AND(AUTOEVENTO="Manual",$M44=1),$M44&gt;(ROW(PLE.lastrow)-ROW(PLE.firstrow))),0,IF(OFFSET(PLE!$G$14,$M44,BB$13)="",10^12,OFFSET(PLE!$G$14,$M44,BB$13))))</f>
        <v>1000000000000</v>
      </c>
      <c r="BC44" s="182">
        <f ca="1">IF($D44&lt;&gt;"Serviço",0,IF(OR(AND(AUTOEVENTO="Manual",$M44=1),$M44&gt;(ROW(PLE.lastrow)-ROW(PLE.firstrow))),0,IF(OFFSET(PLE!$G$14,$M44,BC$13)="",10^12,OFFSET(PLE!$G$14,$M44,BC$13))))</f>
        <v>1000000000000</v>
      </c>
      <c r="BD44" s="182">
        <f ca="1">IF($D44&lt;&gt;"Serviço",0,IF(OR(AND(AUTOEVENTO="Manual",$M44=1),$M44&gt;(ROW(PLE.lastrow)-ROW(PLE.firstrow))),0,IF(OFFSET(PLE!$G$14,$M44,BD$13)="",10^12,OFFSET(PLE!$G$14,$M44,BD$13))))</f>
        <v>1000000000000</v>
      </c>
      <c r="BE44" s="182">
        <f ca="1">IF($D44&lt;&gt;"Serviço",0,IF(OR(AND(AUTOEVENTO="Manual",$M44=1),$M44&gt;(ROW(PLE.lastrow)-ROW(PLE.firstrow))),0,IF(OFFSET(PLE!$G$14,$M44,BE$13)="",10^12,OFFSET(PLE!$G$14,$M44,BE$13))))</f>
        <v>1000000000000</v>
      </c>
      <c r="BF44" s="182">
        <f ca="1">IF($D44&lt;&gt;"Serviço",0,IF(OR(AND(AUTOEVENTO="Manual",$M44=1),$M44&gt;(ROW(PLE.lastrow)-ROW(PLE.firstrow))),0,IF(OFFSET(PLE!$G$14,$M44,BF$13)="",10^12,OFFSET(PLE!$G$14,$M44,BF$13))))</f>
        <v>1000000000000</v>
      </c>
      <c r="BG44" s="182">
        <f ca="1">IF($D44&lt;&gt;"Serviço",0,IF(OR(AND(AUTOEVENTO="Manual",$M44=1),$M44&gt;(ROW(PLE.lastrow)-ROW(PLE.firstrow))),0,IF(OFFSET(PLE!$G$14,$M44,BG$13)="",10^12,OFFSET(PLE!$G$14,$M44,BG$13))))</f>
        <v>1000000000000</v>
      </c>
    </row>
    <row r="45" spans="1:59" ht="25.5" x14ac:dyDescent="0.2">
      <c r="A45" s="7" t="str">
        <f t="shared" ca="1" si="8"/>
        <v>19</v>
      </c>
      <c r="B45" s="7" t="str">
        <f ca="1">OFFSET(ORÇAMENTO!C$15,ROW(B45)-ROW(B$15),0)</f>
        <v>S</v>
      </c>
      <c r="C45" s="7" t="str">
        <f ca="1">OFFSET(ORÇAMENTO!L$15,ROW(C45)-ROW(C$15),0)</f>
        <v>F</v>
      </c>
      <c r="D45" s="118" t="str">
        <f ca="1">OFFSET(ORÇAMENTO!N$15,ROW(D45)-ROW(D$15),0)</f>
        <v>Serviço</v>
      </c>
      <c r="E45" s="119" t="str">
        <f ca="1">OFFSET(ORÇAMENTO!O$15,ROW(E45)-ROW(E$15),0)</f>
        <v>1.4.11.</v>
      </c>
      <c r="F45" s="172" t="str">
        <f ca="1">OFFSET(ORÇAMENTO!R$15,ROW(F45)-ROW(F$15),0)</f>
        <v>Transporte de material betuminoso com caminhão tanque distribuidor - rodovia pavimentada</v>
      </c>
      <c r="G45" s="173" t="str">
        <f ca="1">IF($D45&lt;&gt;"Serviço","",OFFSET(ORÇAMENTO!S$15,ROW(G45)-ROW(G$15),0))</f>
        <v>tkm</v>
      </c>
      <c r="H45" s="124">
        <f ca="1">IF($D45&lt;&gt;"Serviço",0,IF(ACOMPANHAMENTO="BM",ROUND(OFFSET(ORÇAMENTO!AJ$15,ROW(H45)-ROW(H$15),0),15-13*ORÇAMENTO!$AF$7),SUMPRODUCT(($Q$12:$AA$12&lt;&gt;"")*ROUND($Q45:$AA45,15-13*ORÇAMENTO!$AF$7))))</f>
        <v>18278.400000000001</v>
      </c>
      <c r="I45" s="561"/>
      <c r="K45" s="174"/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5</v>
      </c>
      <c r="N45" s="177" t="str">
        <f ca="1">IF($D45&lt;&gt;"Serviço","",IF(AUTOEVENTO="Manual",IF($A45=0,"&lt;-- defina o número do agrupador",OFFSET(EVENTOS!$D$14,$A45,0)),OFFSET($F$15,$A45,0)))</f>
        <v>PAVIMENTAÇÃO</v>
      </c>
      <c r="O45" s="178"/>
      <c r="Q45" s="178"/>
      <c r="R45" s="179"/>
      <c r="S45" s="179"/>
      <c r="T45" s="179"/>
      <c r="U45" s="179"/>
      <c r="V45" s="179"/>
      <c r="W45" s="179"/>
      <c r="X45" s="179"/>
      <c r="Y45" s="179"/>
      <c r="Z45" s="180"/>
      <c r="AB45" s="544">
        <f ca="1">IF(AND($D45="Serviço",AB$12&lt;&gt;0,$H45&gt;0,OR(AUTOEVENTO&lt;&gt;"manual",$M45&lt;&gt;1)), IF(Import.TipoArredondamento&lt;&gt;"TransfereGOV", ROUND(OFFSET($P45,0,AB$13),15-13*ORÇAMENTO!$AF$7)/$H45*OFFSET(ORÇAMENTO!$X$15,ROW(AB45)-ROW(AB$15),0), ROUND(ROUND(OFFSET($P45,0,AB$13),15-13*ORÇAMENTO!$AF$7)*OFFSET(ORÇAMENTO!$W$15,ROW(AB45)-ROW(AB$15),0),15-13*ORÇAMENTO!$AF$11)),0)</f>
        <v>0</v>
      </c>
      <c r="AC45" s="545">
        <f ca="1">IF(AND($D45="Serviço",AC$12&lt;&gt;0,$H45&gt;0,OR(AUTOEVENTO&lt;&gt;"manual",$M45&lt;&gt;1)), IF(Import.TipoArredondamento&lt;&gt;"TransfereGOV", ROUND(OFFSET($P45,0,AC$13),15-13*ORÇAMENTO!$AF$7)/$H45*OFFSET(ORÇAMENTO!$X$15,ROW(AC45)-ROW(AC$15),0), ROUND(ROUND(OFFSET($P45,0,AC$13),15-13*ORÇAMENTO!$AF$7)*OFFSET(ORÇAMENTO!$W$15,ROW(AC45)-ROW(AC$15),0),15-13*ORÇAMENTO!$AF$11)),0)</f>
        <v>0</v>
      </c>
      <c r="AD45" s="545">
        <f ca="1">IF(AND($D45="Serviço",AD$12&lt;&gt;0,$H45&gt;0,OR(AUTOEVENTO&lt;&gt;"manual",$M45&lt;&gt;1)), IF(Import.TipoArredondamento&lt;&gt;"TransfereGOV", ROUND(OFFSET($P45,0,AD$13),15-13*ORÇAMENTO!$AF$7)/$H45*OFFSET(ORÇAMENTO!$X$15,ROW(AD45)-ROW(AD$15),0), ROUND(ROUND(OFFSET($P45,0,AD$13),15-13*ORÇAMENTO!$AF$7)*OFFSET(ORÇAMENTO!$W$15,ROW(AD45)-ROW(AD$15),0),15-13*ORÇAMENTO!$AF$11)),0)</f>
        <v>0</v>
      </c>
      <c r="AE45" s="545">
        <f ca="1">IF(AND($D45="Serviço",AE$12&lt;&gt;0,$H45&gt;0,OR(AUTOEVENTO&lt;&gt;"manual",$M45&lt;&gt;1)), IF(Import.TipoArredondamento&lt;&gt;"TransfereGOV", ROUND(OFFSET($P45,0,AE$13),15-13*ORÇAMENTO!$AF$7)/$H45*OFFSET(ORÇAMENTO!$X$15,ROW(AE45)-ROW(AE$15),0), ROUND(ROUND(OFFSET($P45,0,AE$13),15-13*ORÇAMENTO!$AF$7)*OFFSET(ORÇAMENTO!$W$15,ROW(AE45)-ROW(AE$15),0),15-13*ORÇAMENTO!$AF$11)),0)</f>
        <v>0</v>
      </c>
      <c r="AF45" s="545">
        <f ca="1">IF(AND($D45="Serviço",AF$12&lt;&gt;0,$H45&gt;0,OR(AUTOEVENTO&lt;&gt;"manual",$M45&lt;&gt;1)), IF(Import.TipoArredondamento&lt;&gt;"TransfereGOV", ROUND(OFFSET($P45,0,AF$13),15-13*ORÇAMENTO!$AF$7)/$H45*OFFSET(ORÇAMENTO!$X$15,ROW(AF45)-ROW(AF$15),0), ROUND(ROUND(OFFSET($P45,0,AF$13),15-13*ORÇAMENTO!$AF$7)*OFFSET(ORÇAMENTO!$W$15,ROW(AF45)-ROW(AF$15),0),15-13*ORÇAMENTO!$AF$11)),0)</f>
        <v>0</v>
      </c>
      <c r="AG45" s="545">
        <f ca="1">IF(AND($D45="Serviço",AG$12&lt;&gt;0,$H45&gt;0,OR(AUTOEVENTO&lt;&gt;"manual",$M45&lt;&gt;1)), IF(Import.TipoArredondamento&lt;&gt;"TransfereGOV", ROUND(OFFSET($P45,0,AG$13),15-13*ORÇAMENTO!$AF$7)/$H45*OFFSET(ORÇAMENTO!$X$15,ROW(AG45)-ROW(AG$15),0), ROUND(ROUND(OFFSET($P45,0,AG$13),15-13*ORÇAMENTO!$AF$7)*OFFSET(ORÇAMENTO!$W$15,ROW(AG45)-ROW(AG$15),0),15-13*ORÇAMENTO!$AF$11)),0)</f>
        <v>0</v>
      </c>
      <c r="AH45" s="545">
        <f ca="1">IF(AND($D45="Serviço",AH$12&lt;&gt;0,$H45&gt;0,OR(AUTOEVENTO&lt;&gt;"manual",$M45&lt;&gt;1)), IF(Import.TipoArredondamento&lt;&gt;"TransfereGOV", ROUND(OFFSET($P45,0,AH$13),15-13*ORÇAMENTO!$AF$7)/$H45*OFFSET(ORÇAMENTO!$X$15,ROW(AH45)-ROW(AH$15),0), ROUND(ROUND(OFFSET($P45,0,AH$13),15-13*ORÇAMENTO!$AF$7)*OFFSET(ORÇAMENTO!$W$15,ROW(AH45)-ROW(AH$15),0),15-13*ORÇAMENTO!$AF$11)),0)</f>
        <v>0</v>
      </c>
      <c r="AI45" s="545">
        <f ca="1">IF(AND($D45="Serviço",AI$12&lt;&gt;0,$H45&gt;0,OR(AUTOEVENTO&lt;&gt;"manual",$M45&lt;&gt;1)), IF(Import.TipoArredondamento&lt;&gt;"TransfereGOV", ROUND(OFFSET($P45,0,AI$13),15-13*ORÇAMENTO!$AF$7)/$H45*OFFSET(ORÇAMENTO!$X$15,ROW(AI45)-ROW(AI$15),0), ROUND(ROUND(OFFSET($P45,0,AI$13),15-13*ORÇAMENTO!$AF$7)*OFFSET(ORÇAMENTO!$W$15,ROW(AI45)-ROW(AI$15),0),15-13*ORÇAMENTO!$AF$11)),0)</f>
        <v>0</v>
      </c>
      <c r="AJ45" s="545">
        <f ca="1">IF(AND($D45="Serviço",AJ$12&lt;&gt;0,$H45&gt;0,OR(AUTOEVENTO&lt;&gt;"manual",$M45&lt;&gt;1)), IF(Import.TipoArredondamento&lt;&gt;"TransfereGOV", ROUND(OFFSET($P45,0,AJ$13),15-13*ORÇAMENTO!$AF$7)/$H45*OFFSET(ORÇAMENTO!$X$15,ROW(AJ45)-ROW(AJ$15),0), ROUND(ROUND(OFFSET($P45,0,AJ$13),15-13*ORÇAMENTO!$AF$7)*OFFSET(ORÇAMENTO!$W$15,ROW(AJ45)-ROW(AJ$15),0),15-13*ORÇAMENTO!$AF$11)),0)</f>
        <v>0</v>
      </c>
      <c r="AK45" s="546">
        <f ca="1">IF(AND($D45="Serviço",AK$12&lt;&gt;0,$H45&gt;0,OR(AUTOEVENTO&lt;&gt;"manual",$M45&lt;&gt;1)), IF(Import.TipoArredondamento&lt;&gt;"TransfereGOV", ROUND(OFFSET($P45,0,AK$13),15-13*ORÇAMENTO!$AF$7)/$H45*OFFSET(ORÇAMENTO!$X$15,ROW(AK45)-ROW(AK$15),0), ROUND(ROUND(OFFSET($P45,0,AK$13),15-13*ORÇAMENTO!$AF$7)*OFFSET(ORÇAMENTO!$W$15,ROW(AK45)-ROW(AK$15),0),15-13*ORÇAMENTO!$AF$11)),0)</f>
        <v>0</v>
      </c>
      <c r="AM45" s="181">
        <f ca="1">IF($D45&lt;&gt;"Serviço",0,IF(AND(AUTOEVENTO="Manual",$M45=1),0,IF(OFFSET(CRONOPLE!$F$14,$M45,AM$13)="",10^12,OFFSET(CRONOPLE!$F$14,$M45,AM$13))))</f>
        <v>1000000000000</v>
      </c>
      <c r="AN45" s="181">
        <f ca="1">IF($D45&lt;&gt;"Serviço",0,IF(AND(AUTOEVENTO="Manual",$M45=1),0,IF(OFFSET(CRONOPLE!$F$14,$M45,AN$13)="",10^12,OFFSET(CRONOPLE!$F$14,$M45,AN$13))))</f>
        <v>1000000000000</v>
      </c>
      <c r="AO45" s="181">
        <f ca="1">IF($D45&lt;&gt;"Serviço",0,IF(AND(AUTOEVENTO="Manual",$M45=1),0,IF(OFFSET(CRONOPLE!$F$14,$M45,AO$13)="",10^12,OFFSET(CRONOPLE!$F$14,$M45,AO$13))))</f>
        <v>1000000000000</v>
      </c>
      <c r="AP45" s="181">
        <f ca="1">IF($D45&lt;&gt;"Serviço",0,IF(AND(AUTOEVENTO="Manual",$M45=1),0,IF(OFFSET(CRONOPLE!$F$14,$M45,AP$13)="",10^12,OFFSET(CRONOPLE!$F$14,$M45,AP$13))))</f>
        <v>1000000000000</v>
      </c>
      <c r="AQ45" s="181">
        <f ca="1">IF($D45&lt;&gt;"Serviço",0,IF(AND(AUTOEVENTO="Manual",$M45=1),0,IF(OFFSET(CRONOPLE!$F$14,$M45,AQ$13)="",10^12,OFFSET(CRONOPLE!$F$14,$M45,AQ$13))))</f>
        <v>1000000000000</v>
      </c>
      <c r="AR45" s="181">
        <f ca="1">IF($D45&lt;&gt;"Serviço",0,IF(AND(AUTOEVENTO="Manual",$M45=1),0,IF(OFFSET(CRONOPLE!$F$14,$M45,AR$13)="",10^12,OFFSET(CRONOPLE!$F$14,$M45,AR$13))))</f>
        <v>1000000000000</v>
      </c>
      <c r="AS45" s="181">
        <f ca="1">IF($D45&lt;&gt;"Serviço",0,IF(AND(AUTOEVENTO="Manual",$M45=1),0,IF(OFFSET(CRONOPLE!$F$14,$M45,AS$13)="",10^12,OFFSET(CRONOPLE!$F$14,$M45,AS$13))))</f>
        <v>1000000000000</v>
      </c>
      <c r="AT45" s="181">
        <f ca="1">IF($D45&lt;&gt;"Serviço",0,IF(AND(AUTOEVENTO="Manual",$M45=1),0,IF(OFFSET(CRONOPLE!$F$14,$M45,AT$13)="",10^12,OFFSET(CRONOPLE!$F$14,$M45,AT$13))))</f>
        <v>1000000000000</v>
      </c>
      <c r="AU45" s="181">
        <f ca="1">IF($D45&lt;&gt;"Serviço",0,IF(AND(AUTOEVENTO="Manual",$M45=1),0,IF(OFFSET(CRONOPLE!$F$14,$M45,AU$13)="",10^12,OFFSET(CRONOPLE!$F$14,$M45,AU$13))))</f>
        <v>1000000000000</v>
      </c>
      <c r="AV45" s="181">
        <f ca="1">IF($D45&lt;&gt;"Serviço",0,IF(AND(AUTOEVENTO="Manual",$M45=1),0,IF(OFFSET(CRONOPLE!$F$14,$M45,AV$13)="",10^12,OFFSET(CRONOPLE!$F$14,$M45,AV$13))))</f>
        <v>1000000000000</v>
      </c>
      <c r="AX45" s="182">
        <f ca="1">IF($D45&lt;&gt;"Serviço",0,IF(OR(AND(AUTOEVENTO="Manual",$M45=1),$M45&gt;(ROW(PLE.lastrow)-ROW(PLE.firstrow))),0,IF(OFFSET(PLE!$G$14,$M45,AX$13)="",10^12,OFFSET(PLE!$G$14,$M45,AX$13))))</f>
        <v>1000000000000</v>
      </c>
      <c r="AY45" s="182">
        <f ca="1">IF($D45&lt;&gt;"Serviço",0,IF(OR(AND(AUTOEVENTO="Manual",$M45=1),$M45&gt;(ROW(PLE.lastrow)-ROW(PLE.firstrow))),0,IF(OFFSET(PLE!$G$14,$M45,AY$13)="",10^12,OFFSET(PLE!$G$14,$M45,AY$13))))</f>
        <v>1000000000000</v>
      </c>
      <c r="AZ45" s="182">
        <f ca="1">IF($D45&lt;&gt;"Serviço",0,IF(OR(AND(AUTOEVENTO="Manual",$M45=1),$M45&gt;(ROW(PLE.lastrow)-ROW(PLE.firstrow))),0,IF(OFFSET(PLE!$G$14,$M45,AZ$13)="",10^12,OFFSET(PLE!$G$14,$M45,AZ$13))))</f>
        <v>1000000000000</v>
      </c>
      <c r="BA45" s="182">
        <f ca="1">IF($D45&lt;&gt;"Serviço",0,IF(OR(AND(AUTOEVENTO="Manual",$M45=1),$M45&gt;(ROW(PLE.lastrow)-ROW(PLE.firstrow))),0,IF(OFFSET(PLE!$G$14,$M45,BA$13)="",10^12,OFFSET(PLE!$G$14,$M45,BA$13))))</f>
        <v>1000000000000</v>
      </c>
      <c r="BB45" s="182">
        <f ca="1">IF($D45&lt;&gt;"Serviço",0,IF(OR(AND(AUTOEVENTO="Manual",$M45=1),$M45&gt;(ROW(PLE.lastrow)-ROW(PLE.firstrow))),0,IF(OFFSET(PLE!$G$14,$M45,BB$13)="",10^12,OFFSET(PLE!$G$14,$M45,BB$13))))</f>
        <v>1000000000000</v>
      </c>
      <c r="BC45" s="182">
        <f ca="1">IF($D45&lt;&gt;"Serviço",0,IF(OR(AND(AUTOEVENTO="Manual",$M45=1),$M45&gt;(ROW(PLE.lastrow)-ROW(PLE.firstrow))),0,IF(OFFSET(PLE!$G$14,$M45,BC$13)="",10^12,OFFSET(PLE!$G$14,$M45,BC$13))))</f>
        <v>1000000000000</v>
      </c>
      <c r="BD45" s="182">
        <f ca="1">IF($D45&lt;&gt;"Serviço",0,IF(OR(AND(AUTOEVENTO="Manual",$M45=1),$M45&gt;(ROW(PLE.lastrow)-ROW(PLE.firstrow))),0,IF(OFFSET(PLE!$G$14,$M45,BD$13)="",10^12,OFFSET(PLE!$G$14,$M45,BD$13))))</f>
        <v>1000000000000</v>
      </c>
      <c r="BE45" s="182">
        <f ca="1">IF($D45&lt;&gt;"Serviço",0,IF(OR(AND(AUTOEVENTO="Manual",$M45=1),$M45&gt;(ROW(PLE.lastrow)-ROW(PLE.firstrow))),0,IF(OFFSET(PLE!$G$14,$M45,BE$13)="",10^12,OFFSET(PLE!$G$14,$M45,BE$13))))</f>
        <v>1000000000000</v>
      </c>
      <c r="BF45" s="182">
        <f ca="1">IF($D45&lt;&gt;"Serviço",0,IF(OR(AND(AUTOEVENTO="Manual",$M45=1),$M45&gt;(ROW(PLE.lastrow)-ROW(PLE.firstrow))),0,IF(OFFSET(PLE!$G$14,$M45,BF$13)="",10^12,OFFSET(PLE!$G$14,$M45,BF$13))))</f>
        <v>1000000000000</v>
      </c>
      <c r="BG45" s="18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12.75" x14ac:dyDescent="0.2">
      <c r="A46" s="7" t="str">
        <f t="shared" ca="1" si="8"/>
        <v>31.</v>
      </c>
      <c r="B46" s="7">
        <f ca="1">OFFSET(ORÇAMENTO!C$15,ROW(B46)-ROW(B$15),0)</f>
        <v>2</v>
      </c>
      <c r="C46" s="7" t="str">
        <f ca="1">OFFSET(ORÇAMENTO!L$15,ROW(C46)-ROW(C$15),0)</f>
        <v>F</v>
      </c>
      <c r="D46" s="118" t="str">
        <f ca="1">OFFSET(ORÇAMENTO!N$15,ROW(D46)-ROW(D$15),0)</f>
        <v>Nível 2</v>
      </c>
      <c r="E46" s="119" t="str">
        <f ca="1">OFFSET(ORÇAMENTO!O$15,ROW(E46)-ROW(E$15),0)</f>
        <v>1.5.</v>
      </c>
      <c r="F46" s="172" t="str">
        <f ca="1">OFFSET(ORÇAMENTO!R$15,ROW(F46)-ROW(F$15),0)</f>
        <v>SINALIZAÇÃO</v>
      </c>
      <c r="G46" s="173" t="str">
        <f ca="1">IF($D46&lt;&gt;"Serviço","",OFFSET(ORÇAMENTO!S$15,ROW(G46)-ROW(G$15),0))</f>
        <v/>
      </c>
      <c r="H46" s="124">
        <f ca="1">IF($D46&lt;&gt;"Serviço",0,IF(ACOMPANHAMENTO="BM",ROUND(OFFSET(ORÇAMENTO!AJ$15,ROW(H46)-ROW(H$15),0),15-13*ORÇAMENTO!$AF$7),SUMPRODUCT(($Q$12:$AA$12&lt;&gt;"")*ROUND($Q46:$AA46,15-13*ORÇAMENTO!$AF$7))))</f>
        <v>0</v>
      </c>
      <c r="I46" s="561"/>
      <c r="K46" s="174"/>
      <c r="L46" s="175" t="s">
        <v>255</v>
      </c>
      <c r="M46" s="176" t="str">
        <f ca="1">IF($D46&lt;&gt;"Serviço","",IF(AUTOEVENTO="manual",$A46,IF(ISERROR(MATCH($A46,$A$15:OFFSET($A46,-1,0),0)),MAX($M$15:OFFSET(M46,-1,0))+1,INDEX($M$15:OFFSET(M46,-1,0),MATCH($A46,$A$15:OFFSET($A46,-1,0),0)))))</f>
        <v/>
      </c>
      <c r="N46" s="177" t="str">
        <f ca="1">IF($D46&lt;&gt;"Serviço","",IF(AUTOEVENTO="Manual",IF($A46=0,"&lt;-- defina o número do agrupador",OFFSET(EVENTOS!$D$14,$A46,0)),OFFSET($F$15,$A46,0)))</f>
        <v/>
      </c>
      <c r="O46" s="178"/>
      <c r="Q46" s="178"/>
      <c r="R46" s="179"/>
      <c r="S46" s="179"/>
      <c r="T46" s="179"/>
      <c r="U46" s="179"/>
      <c r="V46" s="179"/>
      <c r="W46" s="179"/>
      <c r="X46" s="179"/>
      <c r="Y46" s="179"/>
      <c r="Z46" s="180"/>
      <c r="AB46" s="544">
        <f ca="1">IF(AND($D46="Serviço",AB$12&lt;&gt;0,$H46&gt;0,OR(AUTOEVENTO&lt;&gt;"manual",$M46&lt;&gt;1)), IF(Import.TipoArredondamento&lt;&gt;"TransfereGOV", ROUND(OFFSET($P46,0,AB$13),15-13*ORÇAMENTO!$AF$7)/$H46*OFFSET(ORÇAMENTO!$X$15,ROW(AB46)-ROW(AB$15),0), ROUND(ROUND(OFFSET($P46,0,AB$13),15-13*ORÇAMENTO!$AF$7)*OFFSET(ORÇAMENTO!$W$15,ROW(AB46)-ROW(AB$15),0),15-13*ORÇAMENTO!$AF$11)),0)</f>
        <v>0</v>
      </c>
      <c r="AC46" s="545">
        <f ca="1">IF(AND($D46="Serviço",AC$12&lt;&gt;0,$H46&gt;0,OR(AUTOEVENTO&lt;&gt;"manual",$M46&lt;&gt;1)), IF(Import.TipoArredondamento&lt;&gt;"TransfereGOV", ROUND(OFFSET($P46,0,AC$13),15-13*ORÇAMENTO!$AF$7)/$H46*OFFSET(ORÇAMENTO!$X$15,ROW(AC46)-ROW(AC$15),0), ROUND(ROUND(OFFSET($P46,0,AC$13),15-13*ORÇAMENTO!$AF$7)*OFFSET(ORÇAMENTO!$W$15,ROW(AC46)-ROW(AC$15),0),15-13*ORÇAMENTO!$AF$11)),0)</f>
        <v>0</v>
      </c>
      <c r="AD46" s="545">
        <f ca="1">IF(AND($D46="Serviço",AD$12&lt;&gt;0,$H46&gt;0,OR(AUTOEVENTO&lt;&gt;"manual",$M46&lt;&gt;1)), IF(Import.TipoArredondamento&lt;&gt;"TransfereGOV", ROUND(OFFSET($P46,0,AD$13),15-13*ORÇAMENTO!$AF$7)/$H46*OFFSET(ORÇAMENTO!$X$15,ROW(AD46)-ROW(AD$15),0), ROUND(ROUND(OFFSET($P46,0,AD$13),15-13*ORÇAMENTO!$AF$7)*OFFSET(ORÇAMENTO!$W$15,ROW(AD46)-ROW(AD$15),0),15-13*ORÇAMENTO!$AF$11)),0)</f>
        <v>0</v>
      </c>
      <c r="AE46" s="545">
        <f ca="1">IF(AND($D46="Serviço",AE$12&lt;&gt;0,$H46&gt;0,OR(AUTOEVENTO&lt;&gt;"manual",$M46&lt;&gt;1)), IF(Import.TipoArredondamento&lt;&gt;"TransfereGOV", ROUND(OFFSET($P46,0,AE$13),15-13*ORÇAMENTO!$AF$7)/$H46*OFFSET(ORÇAMENTO!$X$15,ROW(AE46)-ROW(AE$15),0), ROUND(ROUND(OFFSET($P46,0,AE$13),15-13*ORÇAMENTO!$AF$7)*OFFSET(ORÇAMENTO!$W$15,ROW(AE46)-ROW(AE$15),0),15-13*ORÇAMENTO!$AF$11)),0)</f>
        <v>0</v>
      </c>
      <c r="AF46" s="545">
        <f ca="1">IF(AND($D46="Serviço",AF$12&lt;&gt;0,$H46&gt;0,OR(AUTOEVENTO&lt;&gt;"manual",$M46&lt;&gt;1)), IF(Import.TipoArredondamento&lt;&gt;"TransfereGOV", ROUND(OFFSET($P46,0,AF$13),15-13*ORÇAMENTO!$AF$7)/$H46*OFFSET(ORÇAMENTO!$X$15,ROW(AF46)-ROW(AF$15),0), ROUND(ROUND(OFFSET($P46,0,AF$13),15-13*ORÇAMENTO!$AF$7)*OFFSET(ORÇAMENTO!$W$15,ROW(AF46)-ROW(AF$15),0),15-13*ORÇAMENTO!$AF$11)),0)</f>
        <v>0</v>
      </c>
      <c r="AG46" s="545">
        <f ca="1">IF(AND($D46="Serviço",AG$12&lt;&gt;0,$H46&gt;0,OR(AUTOEVENTO&lt;&gt;"manual",$M46&lt;&gt;1)), IF(Import.TipoArredondamento&lt;&gt;"TransfereGOV", ROUND(OFFSET($P46,0,AG$13),15-13*ORÇAMENTO!$AF$7)/$H46*OFFSET(ORÇAMENTO!$X$15,ROW(AG46)-ROW(AG$15),0), ROUND(ROUND(OFFSET($P46,0,AG$13),15-13*ORÇAMENTO!$AF$7)*OFFSET(ORÇAMENTO!$W$15,ROW(AG46)-ROW(AG$15),0),15-13*ORÇAMENTO!$AF$11)),0)</f>
        <v>0</v>
      </c>
      <c r="AH46" s="545">
        <f ca="1">IF(AND($D46="Serviço",AH$12&lt;&gt;0,$H46&gt;0,OR(AUTOEVENTO&lt;&gt;"manual",$M46&lt;&gt;1)), IF(Import.TipoArredondamento&lt;&gt;"TransfereGOV", ROUND(OFFSET($P46,0,AH$13),15-13*ORÇAMENTO!$AF$7)/$H46*OFFSET(ORÇAMENTO!$X$15,ROW(AH46)-ROW(AH$15),0), ROUND(ROUND(OFFSET($P46,0,AH$13),15-13*ORÇAMENTO!$AF$7)*OFFSET(ORÇAMENTO!$W$15,ROW(AH46)-ROW(AH$15),0),15-13*ORÇAMENTO!$AF$11)),0)</f>
        <v>0</v>
      </c>
      <c r="AI46" s="545">
        <f ca="1">IF(AND($D46="Serviço",AI$12&lt;&gt;0,$H46&gt;0,OR(AUTOEVENTO&lt;&gt;"manual",$M46&lt;&gt;1)), IF(Import.TipoArredondamento&lt;&gt;"TransfereGOV", ROUND(OFFSET($P46,0,AI$13),15-13*ORÇAMENTO!$AF$7)/$H46*OFFSET(ORÇAMENTO!$X$15,ROW(AI46)-ROW(AI$15),0), ROUND(ROUND(OFFSET($P46,0,AI$13),15-13*ORÇAMENTO!$AF$7)*OFFSET(ORÇAMENTO!$W$15,ROW(AI46)-ROW(AI$15),0),15-13*ORÇAMENTO!$AF$11)),0)</f>
        <v>0</v>
      </c>
      <c r="AJ46" s="545">
        <f ca="1">IF(AND($D46="Serviço",AJ$12&lt;&gt;0,$H46&gt;0,OR(AUTOEVENTO&lt;&gt;"manual",$M46&lt;&gt;1)), IF(Import.TipoArredondamento&lt;&gt;"TransfereGOV", ROUND(OFFSET($P46,0,AJ$13),15-13*ORÇAMENTO!$AF$7)/$H46*OFFSET(ORÇAMENTO!$X$15,ROW(AJ46)-ROW(AJ$15),0), ROUND(ROUND(OFFSET($P46,0,AJ$13),15-13*ORÇAMENTO!$AF$7)*OFFSET(ORÇAMENTO!$W$15,ROW(AJ46)-ROW(AJ$15),0),15-13*ORÇAMENTO!$AF$11)),0)</f>
        <v>0</v>
      </c>
      <c r="AK46" s="546">
        <f ca="1">IF(AND($D46="Serviço",AK$12&lt;&gt;0,$H46&gt;0,OR(AUTOEVENTO&lt;&gt;"manual",$M46&lt;&gt;1)), IF(Import.TipoArredondamento&lt;&gt;"TransfereGOV", ROUND(OFFSET($P46,0,AK$13),15-13*ORÇAMENTO!$AF$7)/$H46*OFFSET(ORÇAMENTO!$X$15,ROW(AK46)-ROW(AK$15),0), ROUND(ROUND(OFFSET($P46,0,AK$13),15-13*ORÇAMENTO!$AF$7)*OFFSET(ORÇAMENTO!$W$15,ROW(AK46)-ROW(AK$15),0),15-13*ORÇAMENTO!$AF$11)),0)</f>
        <v>0</v>
      </c>
      <c r="AM46" s="181">
        <f ca="1">IF($D46&lt;&gt;"Serviço",0,IF(AND(AUTOEVENTO="Manual",$M46=1),0,IF(OFFSET(CRONOPLE!$F$14,$M46,AM$13)="",10^12,OFFSET(CRONOPLE!$F$14,$M46,AM$13))))</f>
        <v>0</v>
      </c>
      <c r="AN46" s="181">
        <f ca="1">IF($D46&lt;&gt;"Serviço",0,IF(AND(AUTOEVENTO="Manual",$M46=1),0,IF(OFFSET(CRONOPLE!$F$14,$M46,AN$13)="",10^12,OFFSET(CRONOPLE!$F$14,$M46,AN$13))))</f>
        <v>0</v>
      </c>
      <c r="AO46" s="181">
        <f ca="1">IF($D46&lt;&gt;"Serviço",0,IF(AND(AUTOEVENTO="Manual",$M46=1),0,IF(OFFSET(CRONOPLE!$F$14,$M46,AO$13)="",10^12,OFFSET(CRONOPLE!$F$14,$M46,AO$13))))</f>
        <v>0</v>
      </c>
      <c r="AP46" s="181">
        <f ca="1">IF($D46&lt;&gt;"Serviço",0,IF(AND(AUTOEVENTO="Manual",$M46=1),0,IF(OFFSET(CRONOPLE!$F$14,$M46,AP$13)="",10^12,OFFSET(CRONOPLE!$F$14,$M46,AP$13))))</f>
        <v>0</v>
      </c>
      <c r="AQ46" s="181">
        <f ca="1">IF($D46&lt;&gt;"Serviço",0,IF(AND(AUTOEVENTO="Manual",$M46=1),0,IF(OFFSET(CRONOPLE!$F$14,$M46,AQ$13)="",10^12,OFFSET(CRONOPLE!$F$14,$M46,AQ$13))))</f>
        <v>0</v>
      </c>
      <c r="AR46" s="181">
        <f ca="1">IF($D46&lt;&gt;"Serviço",0,IF(AND(AUTOEVENTO="Manual",$M46=1),0,IF(OFFSET(CRONOPLE!$F$14,$M46,AR$13)="",10^12,OFFSET(CRONOPLE!$F$14,$M46,AR$13))))</f>
        <v>0</v>
      </c>
      <c r="AS46" s="181">
        <f ca="1">IF($D46&lt;&gt;"Serviço",0,IF(AND(AUTOEVENTO="Manual",$M46=1),0,IF(OFFSET(CRONOPLE!$F$14,$M46,AS$13)="",10^12,OFFSET(CRONOPLE!$F$14,$M46,AS$13))))</f>
        <v>0</v>
      </c>
      <c r="AT46" s="181">
        <f ca="1">IF($D46&lt;&gt;"Serviço",0,IF(AND(AUTOEVENTO="Manual",$M46=1),0,IF(OFFSET(CRONOPLE!$F$14,$M46,AT$13)="",10^12,OFFSET(CRONOPLE!$F$14,$M46,AT$13))))</f>
        <v>0</v>
      </c>
      <c r="AU46" s="181">
        <f ca="1">IF($D46&lt;&gt;"Serviço",0,IF(AND(AUTOEVENTO="Manual",$M46=1),0,IF(OFFSET(CRONOPLE!$F$14,$M46,AU$13)="",10^12,OFFSET(CRONOPLE!$F$14,$M46,AU$13))))</f>
        <v>0</v>
      </c>
      <c r="AV46" s="181">
        <f ca="1">IF($D46&lt;&gt;"Serviço",0,IF(AND(AUTOEVENTO="Manual",$M46=1),0,IF(OFFSET(CRONOPLE!$F$14,$M46,AV$13)="",10^12,OFFSET(CRONOPLE!$F$14,$M46,AV$13))))</f>
        <v>0</v>
      </c>
      <c r="AX46" s="182">
        <f ca="1">IF($D46&lt;&gt;"Serviço",0,IF(OR(AND(AUTOEVENTO="Manual",$M46=1),$M46&gt;(ROW(PLE.lastrow)-ROW(PLE.firstrow))),0,IF(OFFSET(PLE!$G$14,$M46,AX$13)="",10^12,OFFSET(PLE!$G$14,$M46,AX$13))))</f>
        <v>0</v>
      </c>
      <c r="AY46" s="182">
        <f ca="1">IF($D46&lt;&gt;"Serviço",0,IF(OR(AND(AUTOEVENTO="Manual",$M46=1),$M46&gt;(ROW(PLE.lastrow)-ROW(PLE.firstrow))),0,IF(OFFSET(PLE!$G$14,$M46,AY$13)="",10^12,OFFSET(PLE!$G$14,$M46,AY$13))))</f>
        <v>0</v>
      </c>
      <c r="AZ46" s="182">
        <f ca="1">IF($D46&lt;&gt;"Serviço",0,IF(OR(AND(AUTOEVENTO="Manual",$M46=1),$M46&gt;(ROW(PLE.lastrow)-ROW(PLE.firstrow))),0,IF(OFFSET(PLE!$G$14,$M46,AZ$13)="",10^12,OFFSET(PLE!$G$14,$M46,AZ$13))))</f>
        <v>0</v>
      </c>
      <c r="BA46" s="182">
        <f ca="1">IF($D46&lt;&gt;"Serviço",0,IF(OR(AND(AUTOEVENTO="Manual",$M46=1),$M46&gt;(ROW(PLE.lastrow)-ROW(PLE.firstrow))),0,IF(OFFSET(PLE!$G$14,$M46,BA$13)="",10^12,OFFSET(PLE!$G$14,$M46,BA$13))))</f>
        <v>0</v>
      </c>
      <c r="BB46" s="182">
        <f ca="1">IF($D46&lt;&gt;"Serviço",0,IF(OR(AND(AUTOEVENTO="Manual",$M46=1),$M46&gt;(ROW(PLE.lastrow)-ROW(PLE.firstrow))),0,IF(OFFSET(PLE!$G$14,$M46,BB$13)="",10^12,OFFSET(PLE!$G$14,$M46,BB$13))))</f>
        <v>0</v>
      </c>
      <c r="BC46" s="182">
        <f ca="1">IF($D46&lt;&gt;"Serviço",0,IF(OR(AND(AUTOEVENTO="Manual",$M46=1),$M46&gt;(ROW(PLE.lastrow)-ROW(PLE.firstrow))),0,IF(OFFSET(PLE!$G$14,$M46,BC$13)="",10^12,OFFSET(PLE!$G$14,$M46,BC$13))))</f>
        <v>0</v>
      </c>
      <c r="BD46" s="182">
        <f ca="1">IF($D46&lt;&gt;"Serviço",0,IF(OR(AND(AUTOEVENTO="Manual",$M46=1),$M46&gt;(ROW(PLE.lastrow)-ROW(PLE.firstrow))),0,IF(OFFSET(PLE!$G$14,$M46,BD$13)="",10^12,OFFSET(PLE!$G$14,$M46,BD$13))))</f>
        <v>0</v>
      </c>
      <c r="BE46" s="182">
        <f ca="1">IF($D46&lt;&gt;"Serviço",0,IF(OR(AND(AUTOEVENTO="Manual",$M46=1),$M46&gt;(ROW(PLE.lastrow)-ROW(PLE.firstrow))),0,IF(OFFSET(PLE!$G$14,$M46,BE$13)="",10^12,OFFSET(PLE!$G$14,$M46,BE$13))))</f>
        <v>0</v>
      </c>
      <c r="BF46" s="182">
        <f ca="1">IF($D46&lt;&gt;"Serviço",0,IF(OR(AND(AUTOEVENTO="Manual",$M46=1),$M46&gt;(ROW(PLE.lastrow)-ROW(PLE.firstrow))),0,IF(OFFSET(PLE!$G$14,$M46,BF$13)="",10^12,OFFSET(PLE!$G$14,$M46,BF$13))))</f>
        <v>0</v>
      </c>
      <c r="BG46" s="182">
        <f ca="1">IF($D46&lt;&gt;"Serviço",0,IF(OR(AND(AUTOEVENTO="Manual",$M46=1),$M46&gt;(ROW(PLE.lastrow)-ROW(PLE.firstrow))),0,IF(OFFSET(PLE!$G$14,$M46,BG$13)="",10^12,OFFSET(PLE!$G$14,$M46,BG$13))))</f>
        <v>0</v>
      </c>
    </row>
    <row r="47" spans="1:59" ht="25.5" x14ac:dyDescent="0.2">
      <c r="A47" s="7" t="str">
        <f t="shared" ca="1" si="8"/>
        <v>31</v>
      </c>
      <c r="B47" s="7" t="str">
        <f ca="1">OFFSET(ORÇAMENTO!C$15,ROW(B47)-ROW(B$15),0)</f>
        <v>S</v>
      </c>
      <c r="C47" s="7" t="str">
        <f ca="1">OFFSET(ORÇAMENTO!L$15,ROW(C47)-ROW(C$15),0)</f>
        <v>F</v>
      </c>
      <c r="D47" s="118" t="str">
        <f ca="1">OFFSET(ORÇAMENTO!N$15,ROW(D47)-ROW(D$15),0)</f>
        <v>Serviço</v>
      </c>
      <c r="E47" s="119" t="str">
        <f ca="1">OFFSET(ORÇAMENTO!O$15,ROW(E47)-ROW(E$15),0)</f>
        <v>1.5.1.</v>
      </c>
      <c r="F47" s="172" t="str">
        <f ca="1">OFFSET(ORÇAMENTO!R$15,ROW(F47)-ROW(F$15),0)</f>
        <v>Placa de advertência em aço, lado de 0,60 m - película retrorrefletiva tipo I + SI - fornecimento e implantação</v>
      </c>
      <c r="G47" s="173" t="str">
        <f ca="1">IF($D47&lt;&gt;"Serviço","",OFFSET(ORÇAMENTO!S$15,ROW(G47)-ROW(G$15),0))</f>
        <v>un</v>
      </c>
      <c r="H47" s="124">
        <f ca="1">IF($D47&lt;&gt;"Serviço",0,IF(ACOMPANHAMENTO="BM",ROUND(OFFSET(ORÇAMENTO!AJ$15,ROW(H47)-ROW(H$15),0),15-13*ORÇAMENTO!$AF$7),SUMPRODUCT(($Q$12:$AA$12&lt;&gt;"")*ROUND($Q47:$AA47,15-13*ORÇAMENTO!$AF$7))))</f>
        <v>2</v>
      </c>
      <c r="I47" s="561"/>
      <c r="K47" s="174"/>
      <c r="L47" s="175" t="s">
        <v>255</v>
      </c>
      <c r="M47" s="176">
        <f ca="1">IF($D47&lt;&gt;"Serviço","",IF(AUTOEVENTO="manual",$A47,IF(ISERROR(MATCH($A47,$A$15:OFFSET($A47,-1,0),0)),MAX($M$15:OFFSET(M47,-1,0))+1,INDEX($M$15:OFFSET(M47,-1,0),MATCH($A47,$A$15:OFFSET($A47,-1,0),0)))))</f>
        <v>6</v>
      </c>
      <c r="N47" s="177" t="str">
        <f ca="1">IF($D47&lt;&gt;"Serviço","",IF(AUTOEVENTO="Manual",IF($A47=0,"&lt;-- defina o número do agrupador",OFFSET(EVENTOS!$D$14,$A47,0)),OFFSET($F$15,$A47,0)))</f>
        <v>SINALIZAÇÃO</v>
      </c>
      <c r="O47" s="178"/>
      <c r="Q47" s="178"/>
      <c r="R47" s="179"/>
      <c r="S47" s="179"/>
      <c r="T47" s="179"/>
      <c r="U47" s="179"/>
      <c r="V47" s="179"/>
      <c r="W47" s="179"/>
      <c r="X47" s="179"/>
      <c r="Y47" s="179"/>
      <c r="Z47" s="180"/>
      <c r="AB47" s="544">
        <f ca="1">IF(AND($D47="Serviço",AB$12&lt;&gt;0,$H47&gt;0,OR(AUTOEVENTO&lt;&gt;"manual",$M47&lt;&gt;1)), IF(Import.TipoArredondamento&lt;&gt;"TransfereGOV", ROUND(OFFSET($P47,0,AB$13),15-13*ORÇAMENTO!$AF$7)/$H47*OFFSET(ORÇAMENTO!$X$15,ROW(AB47)-ROW(AB$15),0), ROUND(ROUND(OFFSET($P47,0,AB$13),15-13*ORÇAMENTO!$AF$7)*OFFSET(ORÇAMENTO!$W$15,ROW(AB47)-ROW(AB$15),0),15-13*ORÇAMENTO!$AF$11)),0)</f>
        <v>0</v>
      </c>
      <c r="AC47" s="545">
        <f ca="1">IF(AND($D47="Serviço",AC$12&lt;&gt;0,$H47&gt;0,OR(AUTOEVENTO&lt;&gt;"manual",$M47&lt;&gt;1)), IF(Import.TipoArredondamento&lt;&gt;"TransfereGOV", ROUND(OFFSET($P47,0,AC$13),15-13*ORÇAMENTO!$AF$7)/$H47*OFFSET(ORÇAMENTO!$X$15,ROW(AC47)-ROW(AC$15),0), ROUND(ROUND(OFFSET($P47,0,AC$13),15-13*ORÇAMENTO!$AF$7)*OFFSET(ORÇAMENTO!$W$15,ROW(AC47)-ROW(AC$15),0),15-13*ORÇAMENTO!$AF$11)),0)</f>
        <v>0</v>
      </c>
      <c r="AD47" s="545">
        <f ca="1">IF(AND($D47="Serviço",AD$12&lt;&gt;0,$H47&gt;0,OR(AUTOEVENTO&lt;&gt;"manual",$M47&lt;&gt;1)), IF(Import.TipoArredondamento&lt;&gt;"TransfereGOV", ROUND(OFFSET($P47,0,AD$13),15-13*ORÇAMENTO!$AF$7)/$H47*OFFSET(ORÇAMENTO!$X$15,ROW(AD47)-ROW(AD$15),0), ROUND(ROUND(OFFSET($P47,0,AD$13),15-13*ORÇAMENTO!$AF$7)*OFFSET(ORÇAMENTO!$W$15,ROW(AD47)-ROW(AD$15),0),15-13*ORÇAMENTO!$AF$11)),0)</f>
        <v>0</v>
      </c>
      <c r="AE47" s="545">
        <f ca="1">IF(AND($D47="Serviço",AE$12&lt;&gt;0,$H47&gt;0,OR(AUTOEVENTO&lt;&gt;"manual",$M47&lt;&gt;1)), IF(Import.TipoArredondamento&lt;&gt;"TransfereGOV", ROUND(OFFSET($P47,0,AE$13),15-13*ORÇAMENTO!$AF$7)/$H47*OFFSET(ORÇAMENTO!$X$15,ROW(AE47)-ROW(AE$15),0), ROUND(ROUND(OFFSET($P47,0,AE$13),15-13*ORÇAMENTO!$AF$7)*OFFSET(ORÇAMENTO!$W$15,ROW(AE47)-ROW(AE$15),0),15-13*ORÇAMENTO!$AF$11)),0)</f>
        <v>0</v>
      </c>
      <c r="AF47" s="545">
        <f ca="1">IF(AND($D47="Serviço",AF$12&lt;&gt;0,$H47&gt;0,OR(AUTOEVENTO&lt;&gt;"manual",$M47&lt;&gt;1)), IF(Import.TipoArredondamento&lt;&gt;"TransfereGOV", ROUND(OFFSET($P47,0,AF$13),15-13*ORÇAMENTO!$AF$7)/$H47*OFFSET(ORÇAMENTO!$X$15,ROW(AF47)-ROW(AF$15),0), ROUND(ROUND(OFFSET($P47,0,AF$13),15-13*ORÇAMENTO!$AF$7)*OFFSET(ORÇAMENTO!$W$15,ROW(AF47)-ROW(AF$15),0),15-13*ORÇAMENTO!$AF$11)),0)</f>
        <v>0</v>
      </c>
      <c r="AG47" s="545">
        <f ca="1">IF(AND($D47="Serviço",AG$12&lt;&gt;0,$H47&gt;0,OR(AUTOEVENTO&lt;&gt;"manual",$M47&lt;&gt;1)), IF(Import.TipoArredondamento&lt;&gt;"TransfereGOV", ROUND(OFFSET($P47,0,AG$13),15-13*ORÇAMENTO!$AF$7)/$H47*OFFSET(ORÇAMENTO!$X$15,ROW(AG47)-ROW(AG$15),0), ROUND(ROUND(OFFSET($P47,0,AG$13),15-13*ORÇAMENTO!$AF$7)*OFFSET(ORÇAMENTO!$W$15,ROW(AG47)-ROW(AG$15),0),15-13*ORÇAMENTO!$AF$11)),0)</f>
        <v>0</v>
      </c>
      <c r="AH47" s="545">
        <f ca="1">IF(AND($D47="Serviço",AH$12&lt;&gt;0,$H47&gt;0,OR(AUTOEVENTO&lt;&gt;"manual",$M47&lt;&gt;1)), IF(Import.TipoArredondamento&lt;&gt;"TransfereGOV", ROUND(OFFSET($P47,0,AH$13),15-13*ORÇAMENTO!$AF$7)/$H47*OFFSET(ORÇAMENTO!$X$15,ROW(AH47)-ROW(AH$15),0), ROUND(ROUND(OFFSET($P47,0,AH$13),15-13*ORÇAMENTO!$AF$7)*OFFSET(ORÇAMENTO!$W$15,ROW(AH47)-ROW(AH$15),0),15-13*ORÇAMENTO!$AF$11)),0)</f>
        <v>0</v>
      </c>
      <c r="AI47" s="545">
        <f ca="1">IF(AND($D47="Serviço",AI$12&lt;&gt;0,$H47&gt;0,OR(AUTOEVENTO&lt;&gt;"manual",$M47&lt;&gt;1)), IF(Import.TipoArredondamento&lt;&gt;"TransfereGOV", ROUND(OFFSET($P47,0,AI$13),15-13*ORÇAMENTO!$AF$7)/$H47*OFFSET(ORÇAMENTO!$X$15,ROW(AI47)-ROW(AI$15),0), ROUND(ROUND(OFFSET($P47,0,AI$13),15-13*ORÇAMENTO!$AF$7)*OFFSET(ORÇAMENTO!$W$15,ROW(AI47)-ROW(AI$15),0),15-13*ORÇAMENTO!$AF$11)),0)</f>
        <v>0</v>
      </c>
      <c r="AJ47" s="545">
        <f ca="1">IF(AND($D47="Serviço",AJ$12&lt;&gt;0,$H47&gt;0,OR(AUTOEVENTO&lt;&gt;"manual",$M47&lt;&gt;1)), IF(Import.TipoArredondamento&lt;&gt;"TransfereGOV", ROUND(OFFSET($P47,0,AJ$13),15-13*ORÇAMENTO!$AF$7)/$H47*OFFSET(ORÇAMENTO!$X$15,ROW(AJ47)-ROW(AJ$15),0), ROUND(ROUND(OFFSET($P47,0,AJ$13),15-13*ORÇAMENTO!$AF$7)*OFFSET(ORÇAMENTO!$W$15,ROW(AJ47)-ROW(AJ$15),0),15-13*ORÇAMENTO!$AF$11)),0)</f>
        <v>0</v>
      </c>
      <c r="AK47" s="546">
        <f ca="1">IF(AND($D47="Serviço",AK$12&lt;&gt;0,$H47&gt;0,OR(AUTOEVENTO&lt;&gt;"manual",$M47&lt;&gt;1)), IF(Import.TipoArredondamento&lt;&gt;"TransfereGOV", ROUND(OFFSET($P47,0,AK$13),15-13*ORÇAMENTO!$AF$7)/$H47*OFFSET(ORÇAMENTO!$X$15,ROW(AK47)-ROW(AK$15),0), ROUND(ROUND(OFFSET($P47,0,AK$13),15-13*ORÇAMENTO!$AF$7)*OFFSET(ORÇAMENTO!$W$15,ROW(AK47)-ROW(AK$15),0),15-13*ORÇAMENTO!$AF$11)),0)</f>
        <v>0</v>
      </c>
      <c r="AM47" s="181">
        <f ca="1">IF($D47&lt;&gt;"Serviço",0,IF(AND(AUTOEVENTO="Manual",$M47=1),0,IF(OFFSET(CRONOPLE!$F$14,$M47,AM$13)="",10^12,OFFSET(CRONOPLE!$F$14,$M47,AM$13))))</f>
        <v>1000000000000</v>
      </c>
      <c r="AN47" s="181">
        <f ca="1">IF($D47&lt;&gt;"Serviço",0,IF(AND(AUTOEVENTO="Manual",$M47=1),0,IF(OFFSET(CRONOPLE!$F$14,$M47,AN$13)="",10^12,OFFSET(CRONOPLE!$F$14,$M47,AN$13))))</f>
        <v>1000000000000</v>
      </c>
      <c r="AO47" s="181">
        <f ca="1">IF($D47&lt;&gt;"Serviço",0,IF(AND(AUTOEVENTO="Manual",$M47=1),0,IF(OFFSET(CRONOPLE!$F$14,$M47,AO$13)="",10^12,OFFSET(CRONOPLE!$F$14,$M47,AO$13))))</f>
        <v>1000000000000</v>
      </c>
      <c r="AP47" s="181">
        <f ca="1">IF($D47&lt;&gt;"Serviço",0,IF(AND(AUTOEVENTO="Manual",$M47=1),0,IF(OFFSET(CRONOPLE!$F$14,$M47,AP$13)="",10^12,OFFSET(CRONOPLE!$F$14,$M47,AP$13))))</f>
        <v>1000000000000</v>
      </c>
      <c r="AQ47" s="181">
        <f ca="1">IF($D47&lt;&gt;"Serviço",0,IF(AND(AUTOEVENTO="Manual",$M47=1),0,IF(OFFSET(CRONOPLE!$F$14,$M47,AQ$13)="",10^12,OFFSET(CRONOPLE!$F$14,$M47,AQ$13))))</f>
        <v>1000000000000</v>
      </c>
      <c r="AR47" s="181">
        <f ca="1">IF($D47&lt;&gt;"Serviço",0,IF(AND(AUTOEVENTO="Manual",$M47=1),0,IF(OFFSET(CRONOPLE!$F$14,$M47,AR$13)="",10^12,OFFSET(CRONOPLE!$F$14,$M47,AR$13))))</f>
        <v>1000000000000</v>
      </c>
      <c r="AS47" s="181">
        <f ca="1">IF($D47&lt;&gt;"Serviço",0,IF(AND(AUTOEVENTO="Manual",$M47=1),0,IF(OFFSET(CRONOPLE!$F$14,$M47,AS$13)="",10^12,OFFSET(CRONOPLE!$F$14,$M47,AS$13))))</f>
        <v>1000000000000</v>
      </c>
      <c r="AT47" s="181">
        <f ca="1">IF($D47&lt;&gt;"Serviço",0,IF(AND(AUTOEVENTO="Manual",$M47=1),0,IF(OFFSET(CRONOPLE!$F$14,$M47,AT$13)="",10^12,OFFSET(CRONOPLE!$F$14,$M47,AT$13))))</f>
        <v>1000000000000</v>
      </c>
      <c r="AU47" s="181">
        <f ca="1">IF($D47&lt;&gt;"Serviço",0,IF(AND(AUTOEVENTO="Manual",$M47=1),0,IF(OFFSET(CRONOPLE!$F$14,$M47,AU$13)="",10^12,OFFSET(CRONOPLE!$F$14,$M47,AU$13))))</f>
        <v>1000000000000</v>
      </c>
      <c r="AV47" s="181">
        <f ca="1">IF($D47&lt;&gt;"Serviço",0,IF(AND(AUTOEVENTO="Manual",$M47=1),0,IF(OFFSET(CRONOPLE!$F$14,$M47,AV$13)="",10^12,OFFSET(CRONOPLE!$F$14,$M47,AV$13))))</f>
        <v>1000000000000</v>
      </c>
      <c r="AX47" s="182">
        <f ca="1">IF($D47&lt;&gt;"Serviço",0,IF(OR(AND(AUTOEVENTO="Manual",$M47=1),$M47&gt;(ROW(PLE.lastrow)-ROW(PLE.firstrow))),0,IF(OFFSET(PLE!$G$14,$M47,AX$13)="",10^12,OFFSET(PLE!$G$14,$M47,AX$13))))</f>
        <v>1000000000000</v>
      </c>
      <c r="AY47" s="182">
        <f ca="1">IF($D47&lt;&gt;"Serviço",0,IF(OR(AND(AUTOEVENTO="Manual",$M47=1),$M47&gt;(ROW(PLE.lastrow)-ROW(PLE.firstrow))),0,IF(OFFSET(PLE!$G$14,$M47,AY$13)="",10^12,OFFSET(PLE!$G$14,$M47,AY$13))))</f>
        <v>1000000000000</v>
      </c>
      <c r="AZ47" s="182">
        <f ca="1">IF($D47&lt;&gt;"Serviço",0,IF(OR(AND(AUTOEVENTO="Manual",$M47=1),$M47&gt;(ROW(PLE.lastrow)-ROW(PLE.firstrow))),0,IF(OFFSET(PLE!$G$14,$M47,AZ$13)="",10^12,OFFSET(PLE!$G$14,$M47,AZ$13))))</f>
        <v>1000000000000</v>
      </c>
      <c r="BA47" s="182">
        <f ca="1">IF($D47&lt;&gt;"Serviço",0,IF(OR(AND(AUTOEVENTO="Manual",$M47=1),$M47&gt;(ROW(PLE.lastrow)-ROW(PLE.firstrow))),0,IF(OFFSET(PLE!$G$14,$M47,BA$13)="",10^12,OFFSET(PLE!$G$14,$M47,BA$13))))</f>
        <v>1000000000000</v>
      </c>
      <c r="BB47" s="182">
        <f ca="1">IF($D47&lt;&gt;"Serviço",0,IF(OR(AND(AUTOEVENTO="Manual",$M47=1),$M47&gt;(ROW(PLE.lastrow)-ROW(PLE.firstrow))),0,IF(OFFSET(PLE!$G$14,$M47,BB$13)="",10^12,OFFSET(PLE!$G$14,$M47,BB$13))))</f>
        <v>1000000000000</v>
      </c>
      <c r="BC47" s="182">
        <f ca="1">IF($D47&lt;&gt;"Serviço",0,IF(OR(AND(AUTOEVENTO="Manual",$M47=1),$M47&gt;(ROW(PLE.lastrow)-ROW(PLE.firstrow))),0,IF(OFFSET(PLE!$G$14,$M47,BC$13)="",10^12,OFFSET(PLE!$G$14,$M47,BC$13))))</f>
        <v>1000000000000</v>
      </c>
      <c r="BD47" s="182">
        <f ca="1">IF($D47&lt;&gt;"Serviço",0,IF(OR(AND(AUTOEVENTO="Manual",$M47=1),$M47&gt;(ROW(PLE.lastrow)-ROW(PLE.firstrow))),0,IF(OFFSET(PLE!$G$14,$M47,BD$13)="",10^12,OFFSET(PLE!$G$14,$M47,BD$13))))</f>
        <v>1000000000000</v>
      </c>
      <c r="BE47" s="182">
        <f ca="1">IF($D47&lt;&gt;"Serviço",0,IF(OR(AND(AUTOEVENTO="Manual",$M47=1),$M47&gt;(ROW(PLE.lastrow)-ROW(PLE.firstrow))),0,IF(OFFSET(PLE!$G$14,$M47,BE$13)="",10^12,OFFSET(PLE!$G$14,$M47,BE$13))))</f>
        <v>1000000000000</v>
      </c>
      <c r="BF47" s="182">
        <f ca="1">IF($D47&lt;&gt;"Serviço",0,IF(OR(AND(AUTOEVENTO="Manual",$M47=1),$M47&gt;(ROW(PLE.lastrow)-ROW(PLE.firstrow))),0,IF(OFFSET(PLE!$G$14,$M47,BF$13)="",10^12,OFFSET(PLE!$G$14,$M47,BF$13))))</f>
        <v>1000000000000</v>
      </c>
      <c r="BG47" s="182">
        <f ca="1">IF($D47&lt;&gt;"Serviço",0,IF(OR(AND(AUTOEVENTO="Manual",$M47=1),$M47&gt;(ROW(PLE.lastrow)-ROW(PLE.firstrow))),0,IF(OFFSET(PLE!$G$14,$M47,BG$13)="",10^12,OFFSET(PLE!$G$14,$M47,BG$13))))</f>
        <v>1000000000000</v>
      </c>
    </row>
    <row r="48" spans="1:59" ht="25.5" x14ac:dyDescent="0.2">
      <c r="A48" s="7" t="str">
        <f ca="1">IF(AUTOEVENTO="Manual",IF(K48&lt;&gt;"",MIN(VALUE(LEFT(K48,FIND(".",K48)-1)),COUNTA(EVENTOS.Lista)),0),IF(OR($B48&gt;AUTOEVENTO,$B48="S",$B48=0),SUBSTITUTE(OFFSET($A48,-1,0),IF($D48="Serviço",".",""),""),ROW(A48)-ROW($A$15)&amp;"."))</f>
        <v>31</v>
      </c>
      <c r="B48" s="7" t="str">
        <f ca="1">OFFSET(ORÇAMENTO!C$15,ROW(B48)-ROW(B$15),0)</f>
        <v>S</v>
      </c>
      <c r="C48" s="7" t="str">
        <f ca="1">OFFSET(ORÇAMENTO!L$15,ROW(C48)-ROW(C$15),0)</f>
        <v>F</v>
      </c>
      <c r="D48" s="118" t="str">
        <f ca="1">OFFSET(ORÇAMENTO!N$15,ROW(D48)-ROW(D$15),0)</f>
        <v>Serviço</v>
      </c>
      <c r="E48" s="119" t="str">
        <f ca="1">OFFSET(ORÇAMENTO!O$15,ROW(E48)-ROW(E$15),0)</f>
        <v>1.5.2.</v>
      </c>
      <c r="F48" s="172" t="str">
        <f ca="1">OFFSET(ORÇAMENTO!R$15,ROW(F48)-ROW(F$15),0)</f>
        <v>Placa de advertência em aço, lado de 0,80 m - película retrorrefletiva tipo I + SI - fornecimento e implantação</v>
      </c>
      <c r="G48" s="173" t="str">
        <f ca="1">IF($D48&lt;&gt;"Serviço","",OFFSET(ORÇAMENTO!S$15,ROW(G48)-ROW(G$15),0))</f>
        <v>un</v>
      </c>
      <c r="H48" s="124">
        <f ca="1">IF($D48&lt;&gt;"Serviço",0,IF(ACOMPANHAMENTO="BM",ROUND(OFFSET(ORÇAMENTO!AJ$15,ROW(H48)-ROW(H$15),0),15-13*ORÇAMENTO!$AF$7),SUMPRODUCT(($Q$12:$AA$12&lt;&gt;"")*ROUND($Q48:$AA48,15-13*ORÇAMENTO!$AF$7))))</f>
        <v>4</v>
      </c>
      <c r="I48" s="561"/>
      <c r="K48" s="174"/>
      <c r="L48" s="175" t="s">
        <v>255</v>
      </c>
      <c r="M48" s="176">
        <f ca="1">IF($D48&lt;&gt;"Serviço","",IF(AUTOEVENTO="manual",$A48,IF(ISERROR(MATCH($A48,$A$15:OFFSET($A48,-1,0),0)),MAX($M$15:OFFSET(M48,-1,0))+1,INDEX($M$15:OFFSET(M48,-1,0),MATCH($A48,$A$15:OFFSET($A48,-1,0),0)))))</f>
        <v>6</v>
      </c>
      <c r="N48" s="177" t="str">
        <f ca="1">IF($D48&lt;&gt;"Serviço","",IF(AUTOEVENTO="Manual",IF($A48=0,"&lt;-- defina o número do agrupador",OFFSET(EVENTOS!$D$14,$A48,0)),OFFSET($F$15,$A48,0)))</f>
        <v>SINALIZAÇÃO</v>
      </c>
      <c r="O48" s="178"/>
      <c r="Q48" s="178"/>
      <c r="R48" s="179"/>
      <c r="S48" s="179"/>
      <c r="T48" s="179"/>
      <c r="U48" s="179"/>
      <c r="V48" s="179"/>
      <c r="W48" s="179"/>
      <c r="X48" s="179"/>
      <c r="Y48" s="179"/>
      <c r="Z48" s="180"/>
      <c r="AB48" s="544">
        <f ca="1">IF(AND($D48="Serviço",AB$12&lt;&gt;0,$H48&gt;0,OR(AUTOEVENTO&lt;&gt;"manual",$M48&lt;&gt;1)), IF(Import.TipoArredondamento&lt;&gt;"TransfereGOV", ROUND(OFFSET($P48,0,AB$13),15-13*ORÇAMENTO!$AF$7)/$H48*OFFSET(ORÇAMENTO!$X$15,ROW(AB48)-ROW(AB$15),0), ROUND(ROUND(OFFSET($P48,0,AB$13),15-13*ORÇAMENTO!$AF$7)*OFFSET(ORÇAMENTO!$W$15,ROW(AB48)-ROW(AB$15),0),15-13*ORÇAMENTO!$AF$11)),0)</f>
        <v>0</v>
      </c>
      <c r="AC48" s="545">
        <f ca="1">IF(AND($D48="Serviço",AC$12&lt;&gt;0,$H48&gt;0,OR(AUTOEVENTO&lt;&gt;"manual",$M48&lt;&gt;1)), IF(Import.TipoArredondamento&lt;&gt;"TransfereGOV", ROUND(OFFSET($P48,0,AC$13),15-13*ORÇAMENTO!$AF$7)/$H48*OFFSET(ORÇAMENTO!$X$15,ROW(AC48)-ROW(AC$15),0), ROUND(ROUND(OFFSET($P48,0,AC$13),15-13*ORÇAMENTO!$AF$7)*OFFSET(ORÇAMENTO!$W$15,ROW(AC48)-ROW(AC$15),0),15-13*ORÇAMENTO!$AF$11)),0)</f>
        <v>0</v>
      </c>
      <c r="AD48" s="545">
        <f ca="1">IF(AND($D48="Serviço",AD$12&lt;&gt;0,$H48&gt;0,OR(AUTOEVENTO&lt;&gt;"manual",$M48&lt;&gt;1)), IF(Import.TipoArredondamento&lt;&gt;"TransfereGOV", ROUND(OFFSET($P48,0,AD$13),15-13*ORÇAMENTO!$AF$7)/$H48*OFFSET(ORÇAMENTO!$X$15,ROW(AD48)-ROW(AD$15),0), ROUND(ROUND(OFFSET($P48,0,AD$13),15-13*ORÇAMENTO!$AF$7)*OFFSET(ORÇAMENTO!$W$15,ROW(AD48)-ROW(AD$15),0),15-13*ORÇAMENTO!$AF$11)),0)</f>
        <v>0</v>
      </c>
      <c r="AE48" s="545">
        <f ca="1">IF(AND($D48="Serviço",AE$12&lt;&gt;0,$H48&gt;0,OR(AUTOEVENTO&lt;&gt;"manual",$M48&lt;&gt;1)), IF(Import.TipoArredondamento&lt;&gt;"TransfereGOV", ROUND(OFFSET($P48,0,AE$13),15-13*ORÇAMENTO!$AF$7)/$H48*OFFSET(ORÇAMENTO!$X$15,ROW(AE48)-ROW(AE$15),0), ROUND(ROUND(OFFSET($P48,0,AE$13),15-13*ORÇAMENTO!$AF$7)*OFFSET(ORÇAMENTO!$W$15,ROW(AE48)-ROW(AE$15),0),15-13*ORÇAMENTO!$AF$11)),0)</f>
        <v>0</v>
      </c>
      <c r="AF48" s="545">
        <f ca="1">IF(AND($D48="Serviço",AF$12&lt;&gt;0,$H48&gt;0,OR(AUTOEVENTO&lt;&gt;"manual",$M48&lt;&gt;1)), IF(Import.TipoArredondamento&lt;&gt;"TransfereGOV", ROUND(OFFSET($P48,0,AF$13),15-13*ORÇAMENTO!$AF$7)/$H48*OFFSET(ORÇAMENTO!$X$15,ROW(AF48)-ROW(AF$15),0), ROUND(ROUND(OFFSET($P48,0,AF$13),15-13*ORÇAMENTO!$AF$7)*OFFSET(ORÇAMENTO!$W$15,ROW(AF48)-ROW(AF$15),0),15-13*ORÇAMENTO!$AF$11)),0)</f>
        <v>0</v>
      </c>
      <c r="AG48" s="545">
        <f ca="1">IF(AND($D48="Serviço",AG$12&lt;&gt;0,$H48&gt;0,OR(AUTOEVENTO&lt;&gt;"manual",$M48&lt;&gt;1)), IF(Import.TipoArredondamento&lt;&gt;"TransfereGOV", ROUND(OFFSET($P48,0,AG$13),15-13*ORÇAMENTO!$AF$7)/$H48*OFFSET(ORÇAMENTO!$X$15,ROW(AG48)-ROW(AG$15),0), ROUND(ROUND(OFFSET($P48,0,AG$13),15-13*ORÇAMENTO!$AF$7)*OFFSET(ORÇAMENTO!$W$15,ROW(AG48)-ROW(AG$15),0),15-13*ORÇAMENTO!$AF$11)),0)</f>
        <v>0</v>
      </c>
      <c r="AH48" s="545">
        <f ca="1">IF(AND($D48="Serviço",AH$12&lt;&gt;0,$H48&gt;0,OR(AUTOEVENTO&lt;&gt;"manual",$M48&lt;&gt;1)), IF(Import.TipoArredondamento&lt;&gt;"TransfereGOV", ROUND(OFFSET($P48,0,AH$13),15-13*ORÇAMENTO!$AF$7)/$H48*OFFSET(ORÇAMENTO!$X$15,ROW(AH48)-ROW(AH$15),0), ROUND(ROUND(OFFSET($P48,0,AH$13),15-13*ORÇAMENTO!$AF$7)*OFFSET(ORÇAMENTO!$W$15,ROW(AH48)-ROW(AH$15),0),15-13*ORÇAMENTO!$AF$11)),0)</f>
        <v>0</v>
      </c>
      <c r="AI48" s="545">
        <f ca="1">IF(AND($D48="Serviço",AI$12&lt;&gt;0,$H48&gt;0,OR(AUTOEVENTO&lt;&gt;"manual",$M48&lt;&gt;1)), IF(Import.TipoArredondamento&lt;&gt;"TransfereGOV", ROUND(OFFSET($P48,0,AI$13),15-13*ORÇAMENTO!$AF$7)/$H48*OFFSET(ORÇAMENTO!$X$15,ROW(AI48)-ROW(AI$15),0), ROUND(ROUND(OFFSET($P48,0,AI$13),15-13*ORÇAMENTO!$AF$7)*OFFSET(ORÇAMENTO!$W$15,ROW(AI48)-ROW(AI$15),0),15-13*ORÇAMENTO!$AF$11)),0)</f>
        <v>0</v>
      </c>
      <c r="AJ48" s="545">
        <f ca="1">IF(AND($D48="Serviço",AJ$12&lt;&gt;0,$H48&gt;0,OR(AUTOEVENTO&lt;&gt;"manual",$M48&lt;&gt;1)), IF(Import.TipoArredondamento&lt;&gt;"TransfereGOV", ROUND(OFFSET($P48,0,AJ$13),15-13*ORÇAMENTO!$AF$7)/$H48*OFFSET(ORÇAMENTO!$X$15,ROW(AJ48)-ROW(AJ$15),0), ROUND(ROUND(OFFSET($P48,0,AJ$13),15-13*ORÇAMENTO!$AF$7)*OFFSET(ORÇAMENTO!$W$15,ROW(AJ48)-ROW(AJ$15),0),15-13*ORÇAMENTO!$AF$11)),0)</f>
        <v>0</v>
      </c>
      <c r="AK48" s="546">
        <f ca="1">IF(AND($D48="Serviço",AK$12&lt;&gt;0,$H48&gt;0,OR(AUTOEVENTO&lt;&gt;"manual",$M48&lt;&gt;1)), IF(Import.TipoArredondamento&lt;&gt;"TransfereGOV", ROUND(OFFSET($P48,0,AK$13),15-13*ORÇAMENTO!$AF$7)/$H48*OFFSET(ORÇAMENTO!$X$15,ROW(AK48)-ROW(AK$15),0), ROUND(ROUND(OFFSET($P48,0,AK$13),15-13*ORÇAMENTO!$AF$7)*OFFSET(ORÇAMENTO!$W$15,ROW(AK48)-ROW(AK$15),0),15-13*ORÇAMENTO!$AF$11)),0)</f>
        <v>0</v>
      </c>
      <c r="AM48" s="181">
        <f ca="1">IF($D48&lt;&gt;"Serviço",0,IF(AND(AUTOEVENTO="Manual",$M48=1),0,IF(OFFSET(CRONOPLE!$F$14,$M48,AM$13)="",10^12,OFFSET(CRONOPLE!$F$14,$M48,AM$13))))</f>
        <v>1000000000000</v>
      </c>
      <c r="AN48" s="181">
        <f ca="1">IF($D48&lt;&gt;"Serviço",0,IF(AND(AUTOEVENTO="Manual",$M48=1),0,IF(OFFSET(CRONOPLE!$F$14,$M48,AN$13)="",10^12,OFFSET(CRONOPLE!$F$14,$M48,AN$13))))</f>
        <v>1000000000000</v>
      </c>
      <c r="AO48" s="181">
        <f ca="1">IF($D48&lt;&gt;"Serviço",0,IF(AND(AUTOEVENTO="Manual",$M48=1),0,IF(OFFSET(CRONOPLE!$F$14,$M48,AO$13)="",10^12,OFFSET(CRONOPLE!$F$14,$M48,AO$13))))</f>
        <v>1000000000000</v>
      </c>
      <c r="AP48" s="181">
        <f ca="1">IF($D48&lt;&gt;"Serviço",0,IF(AND(AUTOEVENTO="Manual",$M48=1),0,IF(OFFSET(CRONOPLE!$F$14,$M48,AP$13)="",10^12,OFFSET(CRONOPLE!$F$14,$M48,AP$13))))</f>
        <v>1000000000000</v>
      </c>
      <c r="AQ48" s="181">
        <f ca="1">IF($D48&lt;&gt;"Serviço",0,IF(AND(AUTOEVENTO="Manual",$M48=1),0,IF(OFFSET(CRONOPLE!$F$14,$M48,AQ$13)="",10^12,OFFSET(CRONOPLE!$F$14,$M48,AQ$13))))</f>
        <v>1000000000000</v>
      </c>
      <c r="AR48" s="181">
        <f ca="1">IF($D48&lt;&gt;"Serviço",0,IF(AND(AUTOEVENTO="Manual",$M48=1),0,IF(OFFSET(CRONOPLE!$F$14,$M48,AR$13)="",10^12,OFFSET(CRONOPLE!$F$14,$M48,AR$13))))</f>
        <v>1000000000000</v>
      </c>
      <c r="AS48" s="181">
        <f ca="1">IF($D48&lt;&gt;"Serviço",0,IF(AND(AUTOEVENTO="Manual",$M48=1),0,IF(OFFSET(CRONOPLE!$F$14,$M48,AS$13)="",10^12,OFFSET(CRONOPLE!$F$14,$M48,AS$13))))</f>
        <v>1000000000000</v>
      </c>
      <c r="AT48" s="181">
        <f ca="1">IF($D48&lt;&gt;"Serviço",0,IF(AND(AUTOEVENTO="Manual",$M48=1),0,IF(OFFSET(CRONOPLE!$F$14,$M48,AT$13)="",10^12,OFFSET(CRONOPLE!$F$14,$M48,AT$13))))</f>
        <v>1000000000000</v>
      </c>
      <c r="AU48" s="181">
        <f ca="1">IF($D48&lt;&gt;"Serviço",0,IF(AND(AUTOEVENTO="Manual",$M48=1),0,IF(OFFSET(CRONOPLE!$F$14,$M48,AU$13)="",10^12,OFFSET(CRONOPLE!$F$14,$M48,AU$13))))</f>
        <v>1000000000000</v>
      </c>
      <c r="AV48" s="181">
        <f ca="1">IF($D48&lt;&gt;"Serviço",0,IF(AND(AUTOEVENTO="Manual",$M48=1),0,IF(OFFSET(CRONOPLE!$F$14,$M48,AV$13)="",10^12,OFFSET(CRONOPLE!$F$14,$M48,AV$13))))</f>
        <v>1000000000000</v>
      </c>
      <c r="AX48" s="182">
        <f ca="1">IF($D48&lt;&gt;"Serviço",0,IF(OR(AND(AUTOEVENTO="Manual",$M48=1),$M48&gt;(ROW(PLE.lastrow)-ROW(PLE.firstrow))),0,IF(OFFSET(PLE!$G$14,$M48,AX$13)="",10^12,OFFSET(PLE!$G$14,$M48,AX$13))))</f>
        <v>1000000000000</v>
      </c>
      <c r="AY48" s="182">
        <f ca="1">IF($D48&lt;&gt;"Serviço",0,IF(OR(AND(AUTOEVENTO="Manual",$M48=1),$M48&gt;(ROW(PLE.lastrow)-ROW(PLE.firstrow))),0,IF(OFFSET(PLE!$G$14,$M48,AY$13)="",10^12,OFFSET(PLE!$G$14,$M48,AY$13))))</f>
        <v>1000000000000</v>
      </c>
      <c r="AZ48" s="182">
        <f ca="1">IF($D48&lt;&gt;"Serviço",0,IF(OR(AND(AUTOEVENTO="Manual",$M48=1),$M48&gt;(ROW(PLE.lastrow)-ROW(PLE.firstrow))),0,IF(OFFSET(PLE!$G$14,$M48,AZ$13)="",10^12,OFFSET(PLE!$G$14,$M48,AZ$13))))</f>
        <v>1000000000000</v>
      </c>
      <c r="BA48" s="182">
        <f ca="1">IF($D48&lt;&gt;"Serviço",0,IF(OR(AND(AUTOEVENTO="Manual",$M48=1),$M48&gt;(ROW(PLE.lastrow)-ROW(PLE.firstrow))),0,IF(OFFSET(PLE!$G$14,$M48,BA$13)="",10^12,OFFSET(PLE!$G$14,$M48,BA$13))))</f>
        <v>1000000000000</v>
      </c>
      <c r="BB48" s="182">
        <f ca="1">IF($D48&lt;&gt;"Serviço",0,IF(OR(AND(AUTOEVENTO="Manual",$M48=1),$M48&gt;(ROW(PLE.lastrow)-ROW(PLE.firstrow))),0,IF(OFFSET(PLE!$G$14,$M48,BB$13)="",10^12,OFFSET(PLE!$G$14,$M48,BB$13))))</f>
        <v>1000000000000</v>
      </c>
      <c r="BC48" s="182">
        <f ca="1">IF($D48&lt;&gt;"Serviço",0,IF(OR(AND(AUTOEVENTO="Manual",$M48=1),$M48&gt;(ROW(PLE.lastrow)-ROW(PLE.firstrow))),0,IF(OFFSET(PLE!$G$14,$M48,BC$13)="",10^12,OFFSET(PLE!$G$14,$M48,BC$13))))</f>
        <v>1000000000000</v>
      </c>
      <c r="BD48" s="182">
        <f ca="1">IF($D48&lt;&gt;"Serviço",0,IF(OR(AND(AUTOEVENTO="Manual",$M48=1),$M48&gt;(ROW(PLE.lastrow)-ROW(PLE.firstrow))),0,IF(OFFSET(PLE!$G$14,$M48,BD$13)="",10^12,OFFSET(PLE!$G$14,$M48,BD$13))))</f>
        <v>1000000000000</v>
      </c>
      <c r="BE48" s="182">
        <f ca="1">IF($D48&lt;&gt;"Serviço",0,IF(OR(AND(AUTOEVENTO="Manual",$M48=1),$M48&gt;(ROW(PLE.lastrow)-ROW(PLE.firstrow))),0,IF(OFFSET(PLE!$G$14,$M48,BE$13)="",10^12,OFFSET(PLE!$G$14,$M48,BE$13))))</f>
        <v>1000000000000</v>
      </c>
      <c r="BF48" s="182">
        <f ca="1">IF($D48&lt;&gt;"Serviço",0,IF(OR(AND(AUTOEVENTO="Manual",$M48=1),$M48&gt;(ROW(PLE.lastrow)-ROW(PLE.firstrow))),0,IF(OFFSET(PLE!$G$14,$M48,BF$13)="",10^12,OFFSET(PLE!$G$14,$M48,BF$13))))</f>
        <v>1000000000000</v>
      </c>
      <c r="BG48" s="182">
        <f ca="1">IF($D48&lt;&gt;"Serviço",0,IF(OR(AND(AUTOEVENTO="Manual",$M48=1),$M48&gt;(ROW(PLE.lastrow)-ROW(PLE.firstrow))),0,IF(OFFSET(PLE!$G$14,$M48,BG$13)="",10^12,OFFSET(PLE!$G$14,$M48,BG$13))))</f>
        <v>1000000000000</v>
      </c>
    </row>
    <row r="49" spans="1:59" ht="25.5" x14ac:dyDescent="0.2">
      <c r="A49" s="7" t="str">
        <f t="shared" ca="1" si="8"/>
        <v>31</v>
      </c>
      <c r="B49" s="7" t="str">
        <f ca="1">OFFSET(ORÇAMENTO!C$15,ROW(B49)-ROW(B$15),0)</f>
        <v>S</v>
      </c>
      <c r="C49" s="7" t="str">
        <f ca="1">OFFSET(ORÇAMENTO!L$15,ROW(C49)-ROW(C$15),0)</f>
        <v>F</v>
      </c>
      <c r="D49" s="118" t="str">
        <f ca="1">OFFSET(ORÇAMENTO!N$15,ROW(D49)-ROW(D$15),0)</f>
        <v>Serviço</v>
      </c>
      <c r="E49" s="119" t="str">
        <f ca="1">OFFSET(ORÇAMENTO!O$15,ROW(E49)-ROW(E$15),0)</f>
        <v>1.5.3.</v>
      </c>
      <c r="F49" s="172" t="str">
        <f ca="1">OFFSET(ORÇAMENTO!R$15,ROW(F49)-ROW(F$15),0)</f>
        <v>Placa em aço nº 16 galvanizado com película retrorrefletiva tipo I + SI - confecção</v>
      </c>
      <c r="G49" s="173" t="str">
        <f ca="1">IF($D49&lt;&gt;"Serviço","",OFFSET(ORÇAMENTO!S$15,ROW(G49)-ROW(G$15),0))</f>
        <v>m²</v>
      </c>
      <c r="H49" s="124">
        <f ca="1">IF($D49&lt;&gt;"Serviço",0,IF(ACOMPANHAMENTO="BM",ROUND(OFFSET(ORÇAMENTO!AJ$15,ROW(H49)-ROW(H$15),0),15-13*ORÇAMENTO!$AF$7),SUMPRODUCT(($Q$12:$AA$12&lt;&gt;"")*ROUND($Q49:$AA49,15-13*ORÇAMENTO!$AF$7))))</f>
        <v>0.75</v>
      </c>
      <c r="I49" s="561"/>
      <c r="K49" s="174"/>
      <c r="L49" s="175" t="s">
        <v>255</v>
      </c>
      <c r="M49" s="176">
        <f ca="1">IF($D49&lt;&gt;"Serviço","",IF(AUTOEVENTO="manual",$A49,IF(ISERROR(MATCH($A49,$A$15:OFFSET($A49,-1,0),0)),MAX($M$15:OFFSET(M49,-1,0))+1,INDEX($M$15:OFFSET(M49,-1,0),MATCH($A49,$A$15:OFFSET($A49,-1,0),0)))))</f>
        <v>6</v>
      </c>
      <c r="N49" s="177" t="str">
        <f ca="1">IF($D49&lt;&gt;"Serviço","",IF(AUTOEVENTO="Manual",IF($A49=0,"&lt;-- defina o número do agrupador",OFFSET(EVENTOS!$D$14,$A49,0)),OFFSET($F$15,$A49,0)))</f>
        <v>SINALIZAÇÃO</v>
      </c>
      <c r="O49" s="178"/>
      <c r="Q49" s="178"/>
      <c r="R49" s="179"/>
      <c r="S49" s="179"/>
      <c r="T49" s="179"/>
      <c r="U49" s="179"/>
      <c r="V49" s="179"/>
      <c r="W49" s="179"/>
      <c r="X49" s="179"/>
      <c r="Y49" s="179"/>
      <c r="Z49" s="180"/>
      <c r="AB49" s="544">
        <f ca="1">IF(AND($D49="Serviço",AB$12&lt;&gt;0,$H49&gt;0,OR(AUTOEVENTO&lt;&gt;"manual",$M49&lt;&gt;1)), IF(Import.TipoArredondamento&lt;&gt;"TransfereGOV", ROUND(OFFSET($P49,0,AB$13),15-13*ORÇAMENTO!$AF$7)/$H49*OFFSET(ORÇAMENTO!$X$15,ROW(AB49)-ROW(AB$15),0), ROUND(ROUND(OFFSET($P49,0,AB$13),15-13*ORÇAMENTO!$AF$7)*OFFSET(ORÇAMENTO!$W$15,ROW(AB49)-ROW(AB$15),0),15-13*ORÇAMENTO!$AF$11)),0)</f>
        <v>0</v>
      </c>
      <c r="AC49" s="545">
        <f ca="1">IF(AND($D49="Serviço",AC$12&lt;&gt;0,$H49&gt;0,OR(AUTOEVENTO&lt;&gt;"manual",$M49&lt;&gt;1)), IF(Import.TipoArredondamento&lt;&gt;"TransfereGOV", ROUND(OFFSET($P49,0,AC$13),15-13*ORÇAMENTO!$AF$7)/$H49*OFFSET(ORÇAMENTO!$X$15,ROW(AC49)-ROW(AC$15),0), ROUND(ROUND(OFFSET($P49,0,AC$13),15-13*ORÇAMENTO!$AF$7)*OFFSET(ORÇAMENTO!$W$15,ROW(AC49)-ROW(AC$15),0),15-13*ORÇAMENTO!$AF$11)),0)</f>
        <v>0</v>
      </c>
      <c r="AD49" s="545">
        <f ca="1">IF(AND($D49="Serviço",AD$12&lt;&gt;0,$H49&gt;0,OR(AUTOEVENTO&lt;&gt;"manual",$M49&lt;&gt;1)), IF(Import.TipoArredondamento&lt;&gt;"TransfereGOV", ROUND(OFFSET($P49,0,AD$13),15-13*ORÇAMENTO!$AF$7)/$H49*OFFSET(ORÇAMENTO!$X$15,ROW(AD49)-ROW(AD$15),0), ROUND(ROUND(OFFSET($P49,0,AD$13),15-13*ORÇAMENTO!$AF$7)*OFFSET(ORÇAMENTO!$W$15,ROW(AD49)-ROW(AD$15),0),15-13*ORÇAMENTO!$AF$11)),0)</f>
        <v>0</v>
      </c>
      <c r="AE49" s="545">
        <f ca="1">IF(AND($D49="Serviço",AE$12&lt;&gt;0,$H49&gt;0,OR(AUTOEVENTO&lt;&gt;"manual",$M49&lt;&gt;1)), IF(Import.TipoArredondamento&lt;&gt;"TransfereGOV", ROUND(OFFSET($P49,0,AE$13),15-13*ORÇAMENTO!$AF$7)/$H49*OFFSET(ORÇAMENTO!$X$15,ROW(AE49)-ROW(AE$15),0), ROUND(ROUND(OFFSET($P49,0,AE$13),15-13*ORÇAMENTO!$AF$7)*OFFSET(ORÇAMENTO!$W$15,ROW(AE49)-ROW(AE$15),0),15-13*ORÇAMENTO!$AF$11)),0)</f>
        <v>0</v>
      </c>
      <c r="AF49" s="545">
        <f ca="1">IF(AND($D49="Serviço",AF$12&lt;&gt;0,$H49&gt;0,OR(AUTOEVENTO&lt;&gt;"manual",$M49&lt;&gt;1)), IF(Import.TipoArredondamento&lt;&gt;"TransfereGOV", ROUND(OFFSET($P49,0,AF$13),15-13*ORÇAMENTO!$AF$7)/$H49*OFFSET(ORÇAMENTO!$X$15,ROW(AF49)-ROW(AF$15),0), ROUND(ROUND(OFFSET($P49,0,AF$13),15-13*ORÇAMENTO!$AF$7)*OFFSET(ORÇAMENTO!$W$15,ROW(AF49)-ROW(AF$15),0),15-13*ORÇAMENTO!$AF$11)),0)</f>
        <v>0</v>
      </c>
      <c r="AG49" s="545">
        <f ca="1">IF(AND($D49="Serviço",AG$12&lt;&gt;0,$H49&gt;0,OR(AUTOEVENTO&lt;&gt;"manual",$M49&lt;&gt;1)), IF(Import.TipoArredondamento&lt;&gt;"TransfereGOV", ROUND(OFFSET($P49,0,AG$13),15-13*ORÇAMENTO!$AF$7)/$H49*OFFSET(ORÇAMENTO!$X$15,ROW(AG49)-ROW(AG$15),0), ROUND(ROUND(OFFSET($P49,0,AG$13),15-13*ORÇAMENTO!$AF$7)*OFFSET(ORÇAMENTO!$W$15,ROW(AG49)-ROW(AG$15),0),15-13*ORÇAMENTO!$AF$11)),0)</f>
        <v>0</v>
      </c>
      <c r="AH49" s="545">
        <f ca="1">IF(AND($D49="Serviço",AH$12&lt;&gt;0,$H49&gt;0,OR(AUTOEVENTO&lt;&gt;"manual",$M49&lt;&gt;1)), IF(Import.TipoArredondamento&lt;&gt;"TransfereGOV", ROUND(OFFSET($P49,0,AH$13),15-13*ORÇAMENTO!$AF$7)/$H49*OFFSET(ORÇAMENTO!$X$15,ROW(AH49)-ROW(AH$15),0), ROUND(ROUND(OFFSET($P49,0,AH$13),15-13*ORÇAMENTO!$AF$7)*OFFSET(ORÇAMENTO!$W$15,ROW(AH49)-ROW(AH$15),0),15-13*ORÇAMENTO!$AF$11)),0)</f>
        <v>0</v>
      </c>
      <c r="AI49" s="545">
        <f ca="1">IF(AND($D49="Serviço",AI$12&lt;&gt;0,$H49&gt;0,OR(AUTOEVENTO&lt;&gt;"manual",$M49&lt;&gt;1)), IF(Import.TipoArredondamento&lt;&gt;"TransfereGOV", ROUND(OFFSET($P49,0,AI$13),15-13*ORÇAMENTO!$AF$7)/$H49*OFFSET(ORÇAMENTO!$X$15,ROW(AI49)-ROW(AI$15),0), ROUND(ROUND(OFFSET($P49,0,AI$13),15-13*ORÇAMENTO!$AF$7)*OFFSET(ORÇAMENTO!$W$15,ROW(AI49)-ROW(AI$15),0),15-13*ORÇAMENTO!$AF$11)),0)</f>
        <v>0</v>
      </c>
      <c r="AJ49" s="545">
        <f ca="1">IF(AND($D49="Serviço",AJ$12&lt;&gt;0,$H49&gt;0,OR(AUTOEVENTO&lt;&gt;"manual",$M49&lt;&gt;1)), IF(Import.TipoArredondamento&lt;&gt;"TransfereGOV", ROUND(OFFSET($P49,0,AJ$13),15-13*ORÇAMENTO!$AF$7)/$H49*OFFSET(ORÇAMENTO!$X$15,ROW(AJ49)-ROW(AJ$15),0), ROUND(ROUND(OFFSET($P49,0,AJ$13),15-13*ORÇAMENTO!$AF$7)*OFFSET(ORÇAMENTO!$W$15,ROW(AJ49)-ROW(AJ$15),0),15-13*ORÇAMENTO!$AF$11)),0)</f>
        <v>0</v>
      </c>
      <c r="AK49" s="546">
        <f ca="1">IF(AND($D49="Serviço",AK$12&lt;&gt;0,$H49&gt;0,OR(AUTOEVENTO&lt;&gt;"manual",$M49&lt;&gt;1)), IF(Import.TipoArredondamento&lt;&gt;"TransfereGOV", ROUND(OFFSET($P49,0,AK$13),15-13*ORÇAMENTO!$AF$7)/$H49*OFFSET(ORÇAMENTO!$X$15,ROW(AK49)-ROW(AK$15),0), ROUND(ROUND(OFFSET($P49,0,AK$13),15-13*ORÇAMENTO!$AF$7)*OFFSET(ORÇAMENTO!$W$15,ROW(AK49)-ROW(AK$15),0),15-13*ORÇAMENTO!$AF$11)),0)</f>
        <v>0</v>
      </c>
      <c r="AM49" s="181">
        <f ca="1">IF($D49&lt;&gt;"Serviço",0,IF(AND(AUTOEVENTO="Manual",$M49=1),0,IF(OFFSET(CRONOPLE!$F$14,$M49,AM$13)="",10^12,OFFSET(CRONOPLE!$F$14,$M49,AM$13))))</f>
        <v>1000000000000</v>
      </c>
      <c r="AN49" s="181">
        <f ca="1">IF($D49&lt;&gt;"Serviço",0,IF(AND(AUTOEVENTO="Manual",$M49=1),0,IF(OFFSET(CRONOPLE!$F$14,$M49,AN$13)="",10^12,OFFSET(CRONOPLE!$F$14,$M49,AN$13))))</f>
        <v>1000000000000</v>
      </c>
      <c r="AO49" s="181">
        <f ca="1">IF($D49&lt;&gt;"Serviço",0,IF(AND(AUTOEVENTO="Manual",$M49=1),0,IF(OFFSET(CRONOPLE!$F$14,$M49,AO$13)="",10^12,OFFSET(CRONOPLE!$F$14,$M49,AO$13))))</f>
        <v>1000000000000</v>
      </c>
      <c r="AP49" s="181">
        <f ca="1">IF($D49&lt;&gt;"Serviço",0,IF(AND(AUTOEVENTO="Manual",$M49=1),0,IF(OFFSET(CRONOPLE!$F$14,$M49,AP$13)="",10^12,OFFSET(CRONOPLE!$F$14,$M49,AP$13))))</f>
        <v>1000000000000</v>
      </c>
      <c r="AQ49" s="181">
        <f ca="1">IF($D49&lt;&gt;"Serviço",0,IF(AND(AUTOEVENTO="Manual",$M49=1),0,IF(OFFSET(CRONOPLE!$F$14,$M49,AQ$13)="",10^12,OFFSET(CRONOPLE!$F$14,$M49,AQ$13))))</f>
        <v>1000000000000</v>
      </c>
      <c r="AR49" s="181">
        <f ca="1">IF($D49&lt;&gt;"Serviço",0,IF(AND(AUTOEVENTO="Manual",$M49=1),0,IF(OFFSET(CRONOPLE!$F$14,$M49,AR$13)="",10^12,OFFSET(CRONOPLE!$F$14,$M49,AR$13))))</f>
        <v>1000000000000</v>
      </c>
      <c r="AS49" s="181">
        <f ca="1">IF($D49&lt;&gt;"Serviço",0,IF(AND(AUTOEVENTO="Manual",$M49=1),0,IF(OFFSET(CRONOPLE!$F$14,$M49,AS$13)="",10^12,OFFSET(CRONOPLE!$F$14,$M49,AS$13))))</f>
        <v>1000000000000</v>
      </c>
      <c r="AT49" s="181">
        <f ca="1">IF($D49&lt;&gt;"Serviço",0,IF(AND(AUTOEVENTO="Manual",$M49=1),0,IF(OFFSET(CRONOPLE!$F$14,$M49,AT$13)="",10^12,OFFSET(CRONOPLE!$F$14,$M49,AT$13))))</f>
        <v>1000000000000</v>
      </c>
      <c r="AU49" s="181">
        <f ca="1">IF($D49&lt;&gt;"Serviço",0,IF(AND(AUTOEVENTO="Manual",$M49=1),0,IF(OFFSET(CRONOPLE!$F$14,$M49,AU$13)="",10^12,OFFSET(CRONOPLE!$F$14,$M49,AU$13))))</f>
        <v>1000000000000</v>
      </c>
      <c r="AV49" s="181">
        <f ca="1">IF($D49&lt;&gt;"Serviço",0,IF(AND(AUTOEVENTO="Manual",$M49=1),0,IF(OFFSET(CRONOPLE!$F$14,$M49,AV$13)="",10^12,OFFSET(CRONOPLE!$F$14,$M49,AV$13))))</f>
        <v>1000000000000</v>
      </c>
      <c r="AX49" s="182">
        <f ca="1">IF($D49&lt;&gt;"Serviço",0,IF(OR(AND(AUTOEVENTO="Manual",$M49=1),$M49&gt;(ROW(PLE.lastrow)-ROW(PLE.firstrow))),0,IF(OFFSET(PLE!$G$14,$M49,AX$13)="",10^12,OFFSET(PLE!$G$14,$M49,AX$13))))</f>
        <v>1000000000000</v>
      </c>
      <c r="AY49" s="182">
        <f ca="1">IF($D49&lt;&gt;"Serviço",0,IF(OR(AND(AUTOEVENTO="Manual",$M49=1),$M49&gt;(ROW(PLE.lastrow)-ROW(PLE.firstrow))),0,IF(OFFSET(PLE!$G$14,$M49,AY$13)="",10^12,OFFSET(PLE!$G$14,$M49,AY$13))))</f>
        <v>1000000000000</v>
      </c>
      <c r="AZ49" s="182">
        <f ca="1">IF($D49&lt;&gt;"Serviço",0,IF(OR(AND(AUTOEVENTO="Manual",$M49=1),$M49&gt;(ROW(PLE.lastrow)-ROW(PLE.firstrow))),0,IF(OFFSET(PLE!$G$14,$M49,AZ$13)="",10^12,OFFSET(PLE!$G$14,$M49,AZ$13))))</f>
        <v>1000000000000</v>
      </c>
      <c r="BA49" s="182">
        <f ca="1">IF($D49&lt;&gt;"Serviço",0,IF(OR(AND(AUTOEVENTO="Manual",$M49=1),$M49&gt;(ROW(PLE.lastrow)-ROW(PLE.firstrow))),0,IF(OFFSET(PLE!$G$14,$M49,BA$13)="",10^12,OFFSET(PLE!$G$14,$M49,BA$13))))</f>
        <v>1000000000000</v>
      </c>
      <c r="BB49" s="182">
        <f ca="1">IF($D49&lt;&gt;"Serviço",0,IF(OR(AND(AUTOEVENTO="Manual",$M49=1),$M49&gt;(ROW(PLE.lastrow)-ROW(PLE.firstrow))),0,IF(OFFSET(PLE!$G$14,$M49,BB$13)="",10^12,OFFSET(PLE!$G$14,$M49,BB$13))))</f>
        <v>1000000000000</v>
      </c>
      <c r="BC49" s="182">
        <f ca="1">IF($D49&lt;&gt;"Serviço",0,IF(OR(AND(AUTOEVENTO="Manual",$M49=1),$M49&gt;(ROW(PLE.lastrow)-ROW(PLE.firstrow))),0,IF(OFFSET(PLE!$G$14,$M49,BC$13)="",10^12,OFFSET(PLE!$G$14,$M49,BC$13))))</f>
        <v>1000000000000</v>
      </c>
      <c r="BD49" s="182">
        <f ca="1">IF($D49&lt;&gt;"Serviço",0,IF(OR(AND(AUTOEVENTO="Manual",$M49=1),$M49&gt;(ROW(PLE.lastrow)-ROW(PLE.firstrow))),0,IF(OFFSET(PLE!$G$14,$M49,BD$13)="",10^12,OFFSET(PLE!$G$14,$M49,BD$13))))</f>
        <v>1000000000000</v>
      </c>
      <c r="BE49" s="182">
        <f ca="1">IF($D49&lt;&gt;"Serviço",0,IF(OR(AND(AUTOEVENTO="Manual",$M49=1),$M49&gt;(ROW(PLE.lastrow)-ROW(PLE.firstrow))),0,IF(OFFSET(PLE!$G$14,$M49,BE$13)="",10^12,OFFSET(PLE!$G$14,$M49,BE$13))))</f>
        <v>1000000000000</v>
      </c>
      <c r="BF49" s="182">
        <f ca="1">IF($D49&lt;&gt;"Serviço",0,IF(OR(AND(AUTOEVENTO="Manual",$M49=1),$M49&gt;(ROW(PLE.lastrow)-ROW(PLE.firstrow))),0,IF(OFFSET(PLE!$G$14,$M49,BF$13)="",10^12,OFFSET(PLE!$G$14,$M49,BF$13))))</f>
        <v>1000000000000</v>
      </c>
      <c r="BG49" s="182">
        <f ca="1">IF($D49&lt;&gt;"Serviço",0,IF(OR(AND(AUTOEVENTO="Manual",$M49=1),$M49&gt;(ROW(PLE.lastrow)-ROW(PLE.firstrow))),0,IF(OFFSET(PLE!$G$14,$M49,BG$13)="",10^12,OFFSET(PLE!$G$14,$M49,BG$13))))</f>
        <v>1000000000000</v>
      </c>
    </row>
    <row r="50" spans="1:59" ht="25.5" x14ac:dyDescent="0.2">
      <c r="A50" s="7" t="str">
        <f t="shared" ca="1" si="8"/>
        <v>31</v>
      </c>
      <c r="B50" s="7" t="str">
        <f ca="1">OFFSET(ORÇAMENTO!C$15,ROW(B50)-ROW(B$15),0)</f>
        <v>S</v>
      </c>
      <c r="C50" s="7" t="str">
        <f ca="1">OFFSET(ORÇAMENTO!L$15,ROW(C50)-ROW(C$15),0)</f>
        <v>F</v>
      </c>
      <c r="D50" s="118" t="str">
        <f ca="1">OFFSET(ORÇAMENTO!N$15,ROW(D50)-ROW(D$15),0)</f>
        <v>Serviço</v>
      </c>
      <c r="E50" s="119" t="str">
        <f ca="1">OFFSET(ORÇAMENTO!O$15,ROW(E50)-ROW(E$15),0)</f>
        <v>1.5.4.</v>
      </c>
      <c r="F50" s="172" t="str">
        <f ca="1">OFFSET(ORÇAMENTO!R$15,ROW(F50)-ROW(F$15),0)</f>
        <v>Placa de regulamentação em aço D = 0,60 m - película retrorrefletiva tipo I + SI - fornecimento e implantação</v>
      </c>
      <c r="G50" s="173" t="str">
        <f ca="1">IF($D50&lt;&gt;"Serviço","",OFFSET(ORÇAMENTO!S$15,ROW(G50)-ROW(G$15),0))</f>
        <v>un</v>
      </c>
      <c r="H50" s="124">
        <f ca="1">IF($D50&lt;&gt;"Serviço",0,IF(ACOMPANHAMENTO="BM",ROUND(OFFSET(ORÇAMENTO!AJ$15,ROW(H50)-ROW(H$15),0),15-13*ORÇAMENTO!$AF$7),SUMPRODUCT(($Q$12:$AA$12&lt;&gt;"")*ROUND($Q50:$AA50,15-13*ORÇAMENTO!$AF$7))))</f>
        <v>2</v>
      </c>
      <c r="I50" s="561"/>
      <c r="K50" s="174"/>
      <c r="L50" s="175" t="s">
        <v>255</v>
      </c>
      <c r="M50" s="176">
        <f ca="1">IF($D50&lt;&gt;"Serviço","",IF(AUTOEVENTO="manual",$A50,IF(ISERROR(MATCH($A50,$A$15:OFFSET($A50,-1,0),0)),MAX($M$15:OFFSET(M50,-1,0))+1,INDEX($M$15:OFFSET(M50,-1,0),MATCH($A50,$A$15:OFFSET($A50,-1,0),0)))))</f>
        <v>6</v>
      </c>
      <c r="N50" s="177" t="str">
        <f ca="1">IF($D50&lt;&gt;"Serviço","",IF(AUTOEVENTO="Manual",IF($A50=0,"&lt;-- defina o número do agrupador",OFFSET(EVENTOS!$D$14,$A50,0)),OFFSET($F$15,$A50,0)))</f>
        <v>SINALIZAÇÃO</v>
      </c>
      <c r="O50" s="178"/>
      <c r="Q50" s="178"/>
      <c r="R50" s="179"/>
      <c r="S50" s="179"/>
      <c r="T50" s="179"/>
      <c r="U50" s="179"/>
      <c r="V50" s="179"/>
      <c r="W50" s="179"/>
      <c r="X50" s="179"/>
      <c r="Y50" s="179"/>
      <c r="Z50" s="180"/>
      <c r="AB50" s="544">
        <f ca="1">IF(AND($D50="Serviço",AB$12&lt;&gt;0,$H50&gt;0,OR(AUTOEVENTO&lt;&gt;"manual",$M50&lt;&gt;1)), IF(Import.TipoArredondamento&lt;&gt;"TransfereGOV", ROUND(OFFSET($P50,0,AB$13),15-13*ORÇAMENTO!$AF$7)/$H50*OFFSET(ORÇAMENTO!$X$15,ROW(AB50)-ROW(AB$15),0), ROUND(ROUND(OFFSET($P50,0,AB$13),15-13*ORÇAMENTO!$AF$7)*OFFSET(ORÇAMENTO!$W$15,ROW(AB50)-ROW(AB$15),0),15-13*ORÇAMENTO!$AF$11)),0)</f>
        <v>0</v>
      </c>
      <c r="AC50" s="545">
        <f ca="1">IF(AND($D50="Serviço",AC$12&lt;&gt;0,$H50&gt;0,OR(AUTOEVENTO&lt;&gt;"manual",$M50&lt;&gt;1)), IF(Import.TipoArredondamento&lt;&gt;"TransfereGOV", ROUND(OFFSET($P50,0,AC$13),15-13*ORÇAMENTO!$AF$7)/$H50*OFFSET(ORÇAMENTO!$X$15,ROW(AC50)-ROW(AC$15),0), ROUND(ROUND(OFFSET($P50,0,AC$13),15-13*ORÇAMENTO!$AF$7)*OFFSET(ORÇAMENTO!$W$15,ROW(AC50)-ROW(AC$15),0),15-13*ORÇAMENTO!$AF$11)),0)</f>
        <v>0</v>
      </c>
      <c r="AD50" s="545">
        <f ca="1">IF(AND($D50="Serviço",AD$12&lt;&gt;0,$H50&gt;0,OR(AUTOEVENTO&lt;&gt;"manual",$M50&lt;&gt;1)), IF(Import.TipoArredondamento&lt;&gt;"TransfereGOV", ROUND(OFFSET($P50,0,AD$13),15-13*ORÇAMENTO!$AF$7)/$H50*OFFSET(ORÇAMENTO!$X$15,ROW(AD50)-ROW(AD$15),0), ROUND(ROUND(OFFSET($P50,0,AD$13),15-13*ORÇAMENTO!$AF$7)*OFFSET(ORÇAMENTO!$W$15,ROW(AD50)-ROW(AD$15),0),15-13*ORÇAMENTO!$AF$11)),0)</f>
        <v>0</v>
      </c>
      <c r="AE50" s="545">
        <f ca="1">IF(AND($D50="Serviço",AE$12&lt;&gt;0,$H50&gt;0,OR(AUTOEVENTO&lt;&gt;"manual",$M50&lt;&gt;1)), IF(Import.TipoArredondamento&lt;&gt;"TransfereGOV", ROUND(OFFSET($P50,0,AE$13),15-13*ORÇAMENTO!$AF$7)/$H50*OFFSET(ORÇAMENTO!$X$15,ROW(AE50)-ROW(AE$15),0), ROUND(ROUND(OFFSET($P50,0,AE$13),15-13*ORÇAMENTO!$AF$7)*OFFSET(ORÇAMENTO!$W$15,ROW(AE50)-ROW(AE$15),0),15-13*ORÇAMENTO!$AF$11)),0)</f>
        <v>0</v>
      </c>
      <c r="AF50" s="545">
        <f ca="1">IF(AND($D50="Serviço",AF$12&lt;&gt;0,$H50&gt;0,OR(AUTOEVENTO&lt;&gt;"manual",$M50&lt;&gt;1)), IF(Import.TipoArredondamento&lt;&gt;"TransfereGOV", ROUND(OFFSET($P50,0,AF$13),15-13*ORÇAMENTO!$AF$7)/$H50*OFFSET(ORÇAMENTO!$X$15,ROW(AF50)-ROW(AF$15),0), ROUND(ROUND(OFFSET($P50,0,AF$13),15-13*ORÇAMENTO!$AF$7)*OFFSET(ORÇAMENTO!$W$15,ROW(AF50)-ROW(AF$15),0),15-13*ORÇAMENTO!$AF$11)),0)</f>
        <v>0</v>
      </c>
      <c r="AG50" s="545">
        <f ca="1">IF(AND($D50="Serviço",AG$12&lt;&gt;0,$H50&gt;0,OR(AUTOEVENTO&lt;&gt;"manual",$M50&lt;&gt;1)), IF(Import.TipoArredondamento&lt;&gt;"TransfereGOV", ROUND(OFFSET($P50,0,AG$13),15-13*ORÇAMENTO!$AF$7)/$H50*OFFSET(ORÇAMENTO!$X$15,ROW(AG50)-ROW(AG$15),0), ROUND(ROUND(OFFSET($P50,0,AG$13),15-13*ORÇAMENTO!$AF$7)*OFFSET(ORÇAMENTO!$W$15,ROW(AG50)-ROW(AG$15),0),15-13*ORÇAMENTO!$AF$11)),0)</f>
        <v>0</v>
      </c>
      <c r="AH50" s="545">
        <f ca="1">IF(AND($D50="Serviço",AH$12&lt;&gt;0,$H50&gt;0,OR(AUTOEVENTO&lt;&gt;"manual",$M50&lt;&gt;1)), IF(Import.TipoArredondamento&lt;&gt;"TransfereGOV", ROUND(OFFSET($P50,0,AH$13),15-13*ORÇAMENTO!$AF$7)/$H50*OFFSET(ORÇAMENTO!$X$15,ROW(AH50)-ROW(AH$15),0), ROUND(ROUND(OFFSET($P50,0,AH$13),15-13*ORÇAMENTO!$AF$7)*OFFSET(ORÇAMENTO!$W$15,ROW(AH50)-ROW(AH$15),0),15-13*ORÇAMENTO!$AF$11)),0)</f>
        <v>0</v>
      </c>
      <c r="AI50" s="545">
        <f ca="1">IF(AND($D50="Serviço",AI$12&lt;&gt;0,$H50&gt;0,OR(AUTOEVENTO&lt;&gt;"manual",$M50&lt;&gt;1)), IF(Import.TipoArredondamento&lt;&gt;"TransfereGOV", ROUND(OFFSET($P50,0,AI$13),15-13*ORÇAMENTO!$AF$7)/$H50*OFFSET(ORÇAMENTO!$X$15,ROW(AI50)-ROW(AI$15),0), ROUND(ROUND(OFFSET($P50,0,AI$13),15-13*ORÇAMENTO!$AF$7)*OFFSET(ORÇAMENTO!$W$15,ROW(AI50)-ROW(AI$15),0),15-13*ORÇAMENTO!$AF$11)),0)</f>
        <v>0</v>
      </c>
      <c r="AJ50" s="545">
        <f ca="1">IF(AND($D50="Serviço",AJ$12&lt;&gt;0,$H50&gt;0,OR(AUTOEVENTO&lt;&gt;"manual",$M50&lt;&gt;1)), IF(Import.TipoArredondamento&lt;&gt;"TransfereGOV", ROUND(OFFSET($P50,0,AJ$13),15-13*ORÇAMENTO!$AF$7)/$H50*OFFSET(ORÇAMENTO!$X$15,ROW(AJ50)-ROW(AJ$15),0), ROUND(ROUND(OFFSET($P50,0,AJ$13),15-13*ORÇAMENTO!$AF$7)*OFFSET(ORÇAMENTO!$W$15,ROW(AJ50)-ROW(AJ$15),0),15-13*ORÇAMENTO!$AF$11)),0)</f>
        <v>0</v>
      </c>
      <c r="AK50" s="546">
        <f ca="1">IF(AND($D50="Serviço",AK$12&lt;&gt;0,$H50&gt;0,OR(AUTOEVENTO&lt;&gt;"manual",$M50&lt;&gt;1)), IF(Import.TipoArredondamento&lt;&gt;"TransfereGOV", ROUND(OFFSET($P50,0,AK$13),15-13*ORÇAMENTO!$AF$7)/$H50*OFFSET(ORÇAMENTO!$X$15,ROW(AK50)-ROW(AK$15),0), ROUND(ROUND(OFFSET($P50,0,AK$13),15-13*ORÇAMENTO!$AF$7)*OFFSET(ORÇAMENTO!$W$15,ROW(AK50)-ROW(AK$15),0),15-13*ORÇAMENTO!$AF$11)),0)</f>
        <v>0</v>
      </c>
      <c r="AM50" s="181">
        <f ca="1">IF($D50&lt;&gt;"Serviço",0,IF(AND(AUTOEVENTO="Manual",$M50=1),0,IF(OFFSET(CRONOPLE!$F$14,$M50,AM$13)="",10^12,OFFSET(CRONOPLE!$F$14,$M50,AM$13))))</f>
        <v>1000000000000</v>
      </c>
      <c r="AN50" s="181">
        <f ca="1">IF($D50&lt;&gt;"Serviço",0,IF(AND(AUTOEVENTO="Manual",$M50=1),0,IF(OFFSET(CRONOPLE!$F$14,$M50,AN$13)="",10^12,OFFSET(CRONOPLE!$F$14,$M50,AN$13))))</f>
        <v>1000000000000</v>
      </c>
      <c r="AO50" s="181">
        <f ca="1">IF($D50&lt;&gt;"Serviço",0,IF(AND(AUTOEVENTO="Manual",$M50=1),0,IF(OFFSET(CRONOPLE!$F$14,$M50,AO$13)="",10^12,OFFSET(CRONOPLE!$F$14,$M50,AO$13))))</f>
        <v>1000000000000</v>
      </c>
      <c r="AP50" s="181">
        <f ca="1">IF($D50&lt;&gt;"Serviço",0,IF(AND(AUTOEVENTO="Manual",$M50=1),0,IF(OFFSET(CRONOPLE!$F$14,$M50,AP$13)="",10^12,OFFSET(CRONOPLE!$F$14,$M50,AP$13))))</f>
        <v>1000000000000</v>
      </c>
      <c r="AQ50" s="181">
        <f ca="1">IF($D50&lt;&gt;"Serviço",0,IF(AND(AUTOEVENTO="Manual",$M50=1),0,IF(OFFSET(CRONOPLE!$F$14,$M50,AQ$13)="",10^12,OFFSET(CRONOPLE!$F$14,$M50,AQ$13))))</f>
        <v>1000000000000</v>
      </c>
      <c r="AR50" s="181">
        <f ca="1">IF($D50&lt;&gt;"Serviço",0,IF(AND(AUTOEVENTO="Manual",$M50=1),0,IF(OFFSET(CRONOPLE!$F$14,$M50,AR$13)="",10^12,OFFSET(CRONOPLE!$F$14,$M50,AR$13))))</f>
        <v>1000000000000</v>
      </c>
      <c r="AS50" s="181">
        <f ca="1">IF($D50&lt;&gt;"Serviço",0,IF(AND(AUTOEVENTO="Manual",$M50=1),0,IF(OFFSET(CRONOPLE!$F$14,$M50,AS$13)="",10^12,OFFSET(CRONOPLE!$F$14,$M50,AS$13))))</f>
        <v>1000000000000</v>
      </c>
      <c r="AT50" s="181">
        <f ca="1">IF($D50&lt;&gt;"Serviço",0,IF(AND(AUTOEVENTO="Manual",$M50=1),0,IF(OFFSET(CRONOPLE!$F$14,$M50,AT$13)="",10^12,OFFSET(CRONOPLE!$F$14,$M50,AT$13))))</f>
        <v>1000000000000</v>
      </c>
      <c r="AU50" s="181">
        <f ca="1">IF($D50&lt;&gt;"Serviço",0,IF(AND(AUTOEVENTO="Manual",$M50=1),0,IF(OFFSET(CRONOPLE!$F$14,$M50,AU$13)="",10^12,OFFSET(CRONOPLE!$F$14,$M50,AU$13))))</f>
        <v>1000000000000</v>
      </c>
      <c r="AV50" s="181">
        <f ca="1">IF($D50&lt;&gt;"Serviço",0,IF(AND(AUTOEVENTO="Manual",$M50=1),0,IF(OFFSET(CRONOPLE!$F$14,$M50,AV$13)="",10^12,OFFSET(CRONOPLE!$F$14,$M50,AV$13))))</f>
        <v>1000000000000</v>
      </c>
      <c r="AX50" s="182">
        <f ca="1">IF($D50&lt;&gt;"Serviço",0,IF(OR(AND(AUTOEVENTO="Manual",$M50=1),$M50&gt;(ROW(PLE.lastrow)-ROW(PLE.firstrow))),0,IF(OFFSET(PLE!$G$14,$M50,AX$13)="",10^12,OFFSET(PLE!$G$14,$M50,AX$13))))</f>
        <v>1000000000000</v>
      </c>
      <c r="AY50" s="182">
        <f ca="1">IF($D50&lt;&gt;"Serviço",0,IF(OR(AND(AUTOEVENTO="Manual",$M50=1),$M50&gt;(ROW(PLE.lastrow)-ROW(PLE.firstrow))),0,IF(OFFSET(PLE!$G$14,$M50,AY$13)="",10^12,OFFSET(PLE!$G$14,$M50,AY$13))))</f>
        <v>1000000000000</v>
      </c>
      <c r="AZ50" s="182">
        <f ca="1">IF($D50&lt;&gt;"Serviço",0,IF(OR(AND(AUTOEVENTO="Manual",$M50=1),$M50&gt;(ROW(PLE.lastrow)-ROW(PLE.firstrow))),0,IF(OFFSET(PLE!$G$14,$M50,AZ$13)="",10^12,OFFSET(PLE!$G$14,$M50,AZ$13))))</f>
        <v>1000000000000</v>
      </c>
      <c r="BA50" s="182">
        <f ca="1">IF($D50&lt;&gt;"Serviço",0,IF(OR(AND(AUTOEVENTO="Manual",$M50=1),$M50&gt;(ROW(PLE.lastrow)-ROW(PLE.firstrow))),0,IF(OFFSET(PLE!$G$14,$M50,BA$13)="",10^12,OFFSET(PLE!$G$14,$M50,BA$13))))</f>
        <v>1000000000000</v>
      </c>
      <c r="BB50" s="182">
        <f ca="1">IF($D50&lt;&gt;"Serviço",0,IF(OR(AND(AUTOEVENTO="Manual",$M50=1),$M50&gt;(ROW(PLE.lastrow)-ROW(PLE.firstrow))),0,IF(OFFSET(PLE!$G$14,$M50,BB$13)="",10^12,OFFSET(PLE!$G$14,$M50,BB$13))))</f>
        <v>1000000000000</v>
      </c>
      <c r="BC50" s="182">
        <f ca="1">IF($D50&lt;&gt;"Serviço",0,IF(OR(AND(AUTOEVENTO="Manual",$M50=1),$M50&gt;(ROW(PLE.lastrow)-ROW(PLE.firstrow))),0,IF(OFFSET(PLE!$G$14,$M50,BC$13)="",10^12,OFFSET(PLE!$G$14,$M50,BC$13))))</f>
        <v>1000000000000</v>
      </c>
      <c r="BD50" s="182">
        <f ca="1">IF($D50&lt;&gt;"Serviço",0,IF(OR(AND(AUTOEVENTO="Manual",$M50=1),$M50&gt;(ROW(PLE.lastrow)-ROW(PLE.firstrow))),0,IF(OFFSET(PLE!$G$14,$M50,BD$13)="",10^12,OFFSET(PLE!$G$14,$M50,BD$13))))</f>
        <v>1000000000000</v>
      </c>
      <c r="BE50" s="182">
        <f ca="1">IF($D50&lt;&gt;"Serviço",0,IF(OR(AND(AUTOEVENTO="Manual",$M50=1),$M50&gt;(ROW(PLE.lastrow)-ROW(PLE.firstrow))),0,IF(OFFSET(PLE!$G$14,$M50,BE$13)="",10^12,OFFSET(PLE!$G$14,$M50,BE$13))))</f>
        <v>1000000000000</v>
      </c>
      <c r="BF50" s="182">
        <f ca="1">IF($D50&lt;&gt;"Serviço",0,IF(OR(AND(AUTOEVENTO="Manual",$M50=1),$M50&gt;(ROW(PLE.lastrow)-ROW(PLE.firstrow))),0,IF(OFFSET(PLE!$G$14,$M50,BF$13)="",10^12,OFFSET(PLE!$G$14,$M50,BF$13))))</f>
        <v>1000000000000</v>
      </c>
      <c r="BG50" s="182">
        <f ca="1">IF($D50&lt;&gt;"Serviço",0,IF(OR(AND(AUTOEVENTO="Manual",$M50=1),$M50&gt;(ROW(PLE.lastrow)-ROW(PLE.firstrow))),0,IF(OFFSET(PLE!$G$14,$M50,BG$13)="",10^12,OFFSET(PLE!$G$14,$M50,BG$13))))</f>
        <v>1000000000000</v>
      </c>
    </row>
    <row r="51" spans="1:59" ht="25.5" x14ac:dyDescent="0.2">
      <c r="A51" s="7" t="str">
        <f t="shared" ca="1" si="8"/>
        <v>31</v>
      </c>
      <c r="B51" s="7" t="str">
        <f ca="1">OFFSET(ORÇAMENTO!C$15,ROW(B51)-ROW(B$15),0)</f>
        <v>S</v>
      </c>
      <c r="C51" s="7" t="str">
        <f ca="1">OFFSET(ORÇAMENTO!L$15,ROW(C51)-ROW(C$15),0)</f>
        <v>F</v>
      </c>
      <c r="D51" s="118" t="str">
        <f ca="1">OFFSET(ORÇAMENTO!N$15,ROW(D51)-ROW(D$15),0)</f>
        <v>Serviço</v>
      </c>
      <c r="E51" s="119" t="str">
        <f ca="1">OFFSET(ORÇAMENTO!O$15,ROW(E51)-ROW(E$15),0)</f>
        <v>1.5.5.</v>
      </c>
      <c r="F51" s="172" t="str">
        <f ca="1">OFFSET(ORÇAMENTO!R$15,ROW(F51)-ROW(F$15),0)</f>
        <v>Placa de regulamentação em aço, R2 lado 0,60 m - película retrorrefletiva tipo I + SI - fornecimento e implantação</v>
      </c>
      <c r="G51" s="173" t="str">
        <f ca="1">IF($D51&lt;&gt;"Serviço","",OFFSET(ORÇAMENTO!S$15,ROW(G51)-ROW(G$15),0))</f>
        <v>un</v>
      </c>
      <c r="H51" s="124">
        <f ca="1">IF($D51&lt;&gt;"Serviço",0,IF(ACOMPANHAMENTO="BM",ROUND(OFFSET(ORÇAMENTO!AJ$15,ROW(H51)-ROW(H$15),0),15-13*ORÇAMENTO!$AF$7),SUMPRODUCT(($Q$12:$AA$12&lt;&gt;"")*ROUND($Q51:$AA51,15-13*ORÇAMENTO!$AF$7))))</f>
        <v>2</v>
      </c>
      <c r="I51" s="561"/>
      <c r="K51" s="174"/>
      <c r="L51" s="175" t="s">
        <v>255</v>
      </c>
      <c r="M51" s="176">
        <f ca="1">IF($D51&lt;&gt;"Serviço","",IF(AUTOEVENTO="manual",$A51,IF(ISERROR(MATCH($A51,$A$15:OFFSET($A51,-1,0),0)),MAX($M$15:OFFSET(M51,-1,0))+1,INDEX($M$15:OFFSET(M51,-1,0),MATCH($A51,$A$15:OFFSET($A51,-1,0),0)))))</f>
        <v>6</v>
      </c>
      <c r="N51" s="177" t="str">
        <f ca="1">IF($D51&lt;&gt;"Serviço","",IF(AUTOEVENTO="Manual",IF($A51=0,"&lt;-- defina o número do agrupador",OFFSET(EVENTOS!$D$14,$A51,0)),OFFSET($F$15,$A51,0)))</f>
        <v>SINALIZAÇÃO</v>
      </c>
      <c r="O51" s="178"/>
      <c r="Q51" s="178"/>
      <c r="R51" s="179"/>
      <c r="S51" s="179"/>
      <c r="T51" s="179"/>
      <c r="U51" s="179"/>
      <c r="V51" s="179"/>
      <c r="W51" s="179"/>
      <c r="X51" s="179"/>
      <c r="Y51" s="179"/>
      <c r="Z51" s="180"/>
      <c r="AB51" s="544">
        <f ca="1">IF(AND($D51="Serviço",AB$12&lt;&gt;0,$H51&gt;0,OR(AUTOEVENTO&lt;&gt;"manual",$M51&lt;&gt;1)), IF(Import.TipoArredondamento&lt;&gt;"TransfereGOV", ROUND(OFFSET($P51,0,AB$13),15-13*ORÇAMENTO!$AF$7)/$H51*OFFSET(ORÇAMENTO!$X$15,ROW(AB51)-ROW(AB$15),0), ROUND(ROUND(OFFSET($P51,0,AB$13),15-13*ORÇAMENTO!$AF$7)*OFFSET(ORÇAMENTO!$W$15,ROW(AB51)-ROW(AB$15),0),15-13*ORÇAMENTO!$AF$11)),0)</f>
        <v>0</v>
      </c>
      <c r="AC51" s="545">
        <f ca="1">IF(AND($D51="Serviço",AC$12&lt;&gt;0,$H51&gt;0,OR(AUTOEVENTO&lt;&gt;"manual",$M51&lt;&gt;1)), IF(Import.TipoArredondamento&lt;&gt;"TransfereGOV", ROUND(OFFSET($P51,0,AC$13),15-13*ORÇAMENTO!$AF$7)/$H51*OFFSET(ORÇAMENTO!$X$15,ROW(AC51)-ROW(AC$15),0), ROUND(ROUND(OFFSET($P51,0,AC$13),15-13*ORÇAMENTO!$AF$7)*OFFSET(ORÇAMENTO!$W$15,ROW(AC51)-ROW(AC$15),0),15-13*ORÇAMENTO!$AF$11)),0)</f>
        <v>0</v>
      </c>
      <c r="AD51" s="545">
        <f ca="1">IF(AND($D51="Serviço",AD$12&lt;&gt;0,$H51&gt;0,OR(AUTOEVENTO&lt;&gt;"manual",$M51&lt;&gt;1)), IF(Import.TipoArredondamento&lt;&gt;"TransfereGOV", ROUND(OFFSET($P51,0,AD$13),15-13*ORÇAMENTO!$AF$7)/$H51*OFFSET(ORÇAMENTO!$X$15,ROW(AD51)-ROW(AD$15),0), ROUND(ROUND(OFFSET($P51,0,AD$13),15-13*ORÇAMENTO!$AF$7)*OFFSET(ORÇAMENTO!$W$15,ROW(AD51)-ROW(AD$15),0),15-13*ORÇAMENTO!$AF$11)),0)</f>
        <v>0</v>
      </c>
      <c r="AE51" s="545">
        <f ca="1">IF(AND($D51="Serviço",AE$12&lt;&gt;0,$H51&gt;0,OR(AUTOEVENTO&lt;&gt;"manual",$M51&lt;&gt;1)), IF(Import.TipoArredondamento&lt;&gt;"TransfereGOV", ROUND(OFFSET($P51,0,AE$13),15-13*ORÇAMENTO!$AF$7)/$H51*OFFSET(ORÇAMENTO!$X$15,ROW(AE51)-ROW(AE$15),0), ROUND(ROUND(OFFSET($P51,0,AE$13),15-13*ORÇAMENTO!$AF$7)*OFFSET(ORÇAMENTO!$W$15,ROW(AE51)-ROW(AE$15),0),15-13*ORÇAMENTO!$AF$11)),0)</f>
        <v>0</v>
      </c>
      <c r="AF51" s="545">
        <f ca="1">IF(AND($D51="Serviço",AF$12&lt;&gt;0,$H51&gt;0,OR(AUTOEVENTO&lt;&gt;"manual",$M51&lt;&gt;1)), IF(Import.TipoArredondamento&lt;&gt;"TransfereGOV", ROUND(OFFSET($P51,0,AF$13),15-13*ORÇAMENTO!$AF$7)/$H51*OFFSET(ORÇAMENTO!$X$15,ROW(AF51)-ROW(AF$15),0), ROUND(ROUND(OFFSET($P51,0,AF$13),15-13*ORÇAMENTO!$AF$7)*OFFSET(ORÇAMENTO!$W$15,ROW(AF51)-ROW(AF$15),0),15-13*ORÇAMENTO!$AF$11)),0)</f>
        <v>0</v>
      </c>
      <c r="AG51" s="545">
        <f ca="1">IF(AND($D51="Serviço",AG$12&lt;&gt;0,$H51&gt;0,OR(AUTOEVENTO&lt;&gt;"manual",$M51&lt;&gt;1)), IF(Import.TipoArredondamento&lt;&gt;"TransfereGOV", ROUND(OFFSET($P51,0,AG$13),15-13*ORÇAMENTO!$AF$7)/$H51*OFFSET(ORÇAMENTO!$X$15,ROW(AG51)-ROW(AG$15),0), ROUND(ROUND(OFFSET($P51,0,AG$13),15-13*ORÇAMENTO!$AF$7)*OFFSET(ORÇAMENTO!$W$15,ROW(AG51)-ROW(AG$15),0),15-13*ORÇAMENTO!$AF$11)),0)</f>
        <v>0</v>
      </c>
      <c r="AH51" s="545">
        <f ca="1">IF(AND($D51="Serviço",AH$12&lt;&gt;0,$H51&gt;0,OR(AUTOEVENTO&lt;&gt;"manual",$M51&lt;&gt;1)), IF(Import.TipoArredondamento&lt;&gt;"TransfereGOV", ROUND(OFFSET($P51,0,AH$13),15-13*ORÇAMENTO!$AF$7)/$H51*OFFSET(ORÇAMENTO!$X$15,ROW(AH51)-ROW(AH$15),0), ROUND(ROUND(OFFSET($P51,0,AH$13),15-13*ORÇAMENTO!$AF$7)*OFFSET(ORÇAMENTO!$W$15,ROW(AH51)-ROW(AH$15),0),15-13*ORÇAMENTO!$AF$11)),0)</f>
        <v>0</v>
      </c>
      <c r="AI51" s="545">
        <f ca="1">IF(AND($D51="Serviço",AI$12&lt;&gt;0,$H51&gt;0,OR(AUTOEVENTO&lt;&gt;"manual",$M51&lt;&gt;1)), IF(Import.TipoArredondamento&lt;&gt;"TransfereGOV", ROUND(OFFSET($P51,0,AI$13),15-13*ORÇAMENTO!$AF$7)/$H51*OFFSET(ORÇAMENTO!$X$15,ROW(AI51)-ROW(AI$15),0), ROUND(ROUND(OFFSET($P51,0,AI$13),15-13*ORÇAMENTO!$AF$7)*OFFSET(ORÇAMENTO!$W$15,ROW(AI51)-ROW(AI$15),0),15-13*ORÇAMENTO!$AF$11)),0)</f>
        <v>0</v>
      </c>
      <c r="AJ51" s="545">
        <f ca="1">IF(AND($D51="Serviço",AJ$12&lt;&gt;0,$H51&gt;0,OR(AUTOEVENTO&lt;&gt;"manual",$M51&lt;&gt;1)), IF(Import.TipoArredondamento&lt;&gt;"TransfereGOV", ROUND(OFFSET($P51,0,AJ$13),15-13*ORÇAMENTO!$AF$7)/$H51*OFFSET(ORÇAMENTO!$X$15,ROW(AJ51)-ROW(AJ$15),0), ROUND(ROUND(OFFSET($P51,0,AJ$13),15-13*ORÇAMENTO!$AF$7)*OFFSET(ORÇAMENTO!$W$15,ROW(AJ51)-ROW(AJ$15),0),15-13*ORÇAMENTO!$AF$11)),0)</f>
        <v>0</v>
      </c>
      <c r="AK51" s="546">
        <f ca="1">IF(AND($D51="Serviço",AK$12&lt;&gt;0,$H51&gt;0,OR(AUTOEVENTO&lt;&gt;"manual",$M51&lt;&gt;1)), IF(Import.TipoArredondamento&lt;&gt;"TransfereGOV", ROUND(OFFSET($P51,0,AK$13),15-13*ORÇAMENTO!$AF$7)/$H51*OFFSET(ORÇAMENTO!$X$15,ROW(AK51)-ROW(AK$15),0), ROUND(ROUND(OFFSET($P51,0,AK$13),15-13*ORÇAMENTO!$AF$7)*OFFSET(ORÇAMENTO!$W$15,ROW(AK51)-ROW(AK$15),0),15-13*ORÇAMENTO!$AF$11)),0)</f>
        <v>0</v>
      </c>
      <c r="AM51" s="181">
        <f ca="1">IF($D51&lt;&gt;"Serviço",0,IF(AND(AUTOEVENTO="Manual",$M51=1),0,IF(OFFSET(CRONOPLE!$F$14,$M51,AM$13)="",10^12,OFFSET(CRONOPLE!$F$14,$M51,AM$13))))</f>
        <v>1000000000000</v>
      </c>
      <c r="AN51" s="181">
        <f ca="1">IF($D51&lt;&gt;"Serviço",0,IF(AND(AUTOEVENTO="Manual",$M51=1),0,IF(OFFSET(CRONOPLE!$F$14,$M51,AN$13)="",10^12,OFFSET(CRONOPLE!$F$14,$M51,AN$13))))</f>
        <v>1000000000000</v>
      </c>
      <c r="AO51" s="181">
        <f ca="1">IF($D51&lt;&gt;"Serviço",0,IF(AND(AUTOEVENTO="Manual",$M51=1),0,IF(OFFSET(CRONOPLE!$F$14,$M51,AO$13)="",10^12,OFFSET(CRONOPLE!$F$14,$M51,AO$13))))</f>
        <v>1000000000000</v>
      </c>
      <c r="AP51" s="181">
        <f ca="1">IF($D51&lt;&gt;"Serviço",0,IF(AND(AUTOEVENTO="Manual",$M51=1),0,IF(OFFSET(CRONOPLE!$F$14,$M51,AP$13)="",10^12,OFFSET(CRONOPLE!$F$14,$M51,AP$13))))</f>
        <v>1000000000000</v>
      </c>
      <c r="AQ51" s="181">
        <f ca="1">IF($D51&lt;&gt;"Serviço",0,IF(AND(AUTOEVENTO="Manual",$M51=1),0,IF(OFFSET(CRONOPLE!$F$14,$M51,AQ$13)="",10^12,OFFSET(CRONOPLE!$F$14,$M51,AQ$13))))</f>
        <v>1000000000000</v>
      </c>
      <c r="AR51" s="181">
        <f ca="1">IF($D51&lt;&gt;"Serviço",0,IF(AND(AUTOEVENTO="Manual",$M51=1),0,IF(OFFSET(CRONOPLE!$F$14,$M51,AR$13)="",10^12,OFFSET(CRONOPLE!$F$14,$M51,AR$13))))</f>
        <v>1000000000000</v>
      </c>
      <c r="AS51" s="181">
        <f ca="1">IF($D51&lt;&gt;"Serviço",0,IF(AND(AUTOEVENTO="Manual",$M51=1),0,IF(OFFSET(CRONOPLE!$F$14,$M51,AS$13)="",10^12,OFFSET(CRONOPLE!$F$14,$M51,AS$13))))</f>
        <v>1000000000000</v>
      </c>
      <c r="AT51" s="181">
        <f ca="1">IF($D51&lt;&gt;"Serviço",0,IF(AND(AUTOEVENTO="Manual",$M51=1),0,IF(OFFSET(CRONOPLE!$F$14,$M51,AT$13)="",10^12,OFFSET(CRONOPLE!$F$14,$M51,AT$13))))</f>
        <v>1000000000000</v>
      </c>
      <c r="AU51" s="181">
        <f ca="1">IF($D51&lt;&gt;"Serviço",0,IF(AND(AUTOEVENTO="Manual",$M51=1),0,IF(OFFSET(CRONOPLE!$F$14,$M51,AU$13)="",10^12,OFFSET(CRONOPLE!$F$14,$M51,AU$13))))</f>
        <v>1000000000000</v>
      </c>
      <c r="AV51" s="181">
        <f ca="1">IF($D51&lt;&gt;"Serviço",0,IF(AND(AUTOEVENTO="Manual",$M51=1),0,IF(OFFSET(CRONOPLE!$F$14,$M51,AV$13)="",10^12,OFFSET(CRONOPLE!$F$14,$M51,AV$13))))</f>
        <v>1000000000000</v>
      </c>
      <c r="AX51" s="182">
        <f ca="1">IF($D51&lt;&gt;"Serviço",0,IF(OR(AND(AUTOEVENTO="Manual",$M51=1),$M51&gt;(ROW(PLE.lastrow)-ROW(PLE.firstrow))),0,IF(OFFSET(PLE!$G$14,$M51,AX$13)="",10^12,OFFSET(PLE!$G$14,$M51,AX$13))))</f>
        <v>1000000000000</v>
      </c>
      <c r="AY51" s="182">
        <f ca="1">IF($D51&lt;&gt;"Serviço",0,IF(OR(AND(AUTOEVENTO="Manual",$M51=1),$M51&gt;(ROW(PLE.lastrow)-ROW(PLE.firstrow))),0,IF(OFFSET(PLE!$G$14,$M51,AY$13)="",10^12,OFFSET(PLE!$G$14,$M51,AY$13))))</f>
        <v>1000000000000</v>
      </c>
      <c r="AZ51" s="182">
        <f ca="1">IF($D51&lt;&gt;"Serviço",0,IF(OR(AND(AUTOEVENTO="Manual",$M51=1),$M51&gt;(ROW(PLE.lastrow)-ROW(PLE.firstrow))),0,IF(OFFSET(PLE!$G$14,$M51,AZ$13)="",10^12,OFFSET(PLE!$G$14,$M51,AZ$13))))</f>
        <v>1000000000000</v>
      </c>
      <c r="BA51" s="182">
        <f ca="1">IF($D51&lt;&gt;"Serviço",0,IF(OR(AND(AUTOEVENTO="Manual",$M51=1),$M51&gt;(ROW(PLE.lastrow)-ROW(PLE.firstrow))),0,IF(OFFSET(PLE!$G$14,$M51,BA$13)="",10^12,OFFSET(PLE!$G$14,$M51,BA$13))))</f>
        <v>1000000000000</v>
      </c>
      <c r="BB51" s="182">
        <f ca="1">IF($D51&lt;&gt;"Serviço",0,IF(OR(AND(AUTOEVENTO="Manual",$M51=1),$M51&gt;(ROW(PLE.lastrow)-ROW(PLE.firstrow))),0,IF(OFFSET(PLE!$G$14,$M51,BB$13)="",10^12,OFFSET(PLE!$G$14,$M51,BB$13))))</f>
        <v>1000000000000</v>
      </c>
      <c r="BC51" s="182">
        <f ca="1">IF($D51&lt;&gt;"Serviço",0,IF(OR(AND(AUTOEVENTO="Manual",$M51=1),$M51&gt;(ROW(PLE.lastrow)-ROW(PLE.firstrow))),0,IF(OFFSET(PLE!$G$14,$M51,BC$13)="",10^12,OFFSET(PLE!$G$14,$M51,BC$13))))</f>
        <v>1000000000000</v>
      </c>
      <c r="BD51" s="182">
        <f ca="1">IF($D51&lt;&gt;"Serviço",0,IF(OR(AND(AUTOEVENTO="Manual",$M51=1),$M51&gt;(ROW(PLE.lastrow)-ROW(PLE.firstrow))),0,IF(OFFSET(PLE!$G$14,$M51,BD$13)="",10^12,OFFSET(PLE!$G$14,$M51,BD$13))))</f>
        <v>1000000000000</v>
      </c>
      <c r="BE51" s="182">
        <f ca="1">IF($D51&lt;&gt;"Serviço",0,IF(OR(AND(AUTOEVENTO="Manual",$M51=1),$M51&gt;(ROW(PLE.lastrow)-ROW(PLE.firstrow))),0,IF(OFFSET(PLE!$G$14,$M51,BE$13)="",10^12,OFFSET(PLE!$G$14,$M51,BE$13))))</f>
        <v>1000000000000</v>
      </c>
      <c r="BF51" s="182">
        <f ca="1">IF($D51&lt;&gt;"Serviço",0,IF(OR(AND(AUTOEVENTO="Manual",$M51=1),$M51&gt;(ROW(PLE.lastrow)-ROW(PLE.firstrow))),0,IF(OFFSET(PLE!$G$14,$M51,BF$13)="",10^12,OFFSET(PLE!$G$14,$M51,BF$13))))</f>
        <v>1000000000000</v>
      </c>
      <c r="BG51" s="182">
        <f ca="1">IF($D51&lt;&gt;"Serviço",0,IF(OR(AND(AUTOEVENTO="Manual",$M51=1),$M51&gt;(ROW(PLE.lastrow)-ROW(PLE.firstrow))),0,IF(OFFSET(PLE!$G$14,$M51,BG$13)="",10^12,OFFSET(PLE!$G$14,$M51,BG$13))))</f>
        <v>1000000000000</v>
      </c>
    </row>
    <row r="52" spans="1:59" ht="25.5" x14ac:dyDescent="0.2">
      <c r="A52" s="7" t="str">
        <f t="shared" ca="1" si="8"/>
        <v>31</v>
      </c>
      <c r="B52" s="7" t="str">
        <f ca="1">OFFSET(ORÇAMENTO!C$15,ROW(B52)-ROW(B$15),0)</f>
        <v>S</v>
      </c>
      <c r="C52" s="7" t="str">
        <f ca="1">OFFSET(ORÇAMENTO!L$15,ROW(C52)-ROW(C$15),0)</f>
        <v>F</v>
      </c>
      <c r="D52" s="118" t="str">
        <f ca="1">OFFSET(ORÇAMENTO!N$15,ROW(D52)-ROW(D$15),0)</f>
        <v>Serviço</v>
      </c>
      <c r="E52" s="119" t="str">
        <f ca="1">OFFSET(ORÇAMENTO!O$15,ROW(E52)-ROW(E$15),0)</f>
        <v>1.5.6.</v>
      </c>
      <c r="F52" s="172" t="str">
        <f ca="1">OFFSET(ORÇAMENTO!R$15,ROW(F52)-ROW(F$15),0)</f>
        <v>Placa de regulamentação em aço, R1 lado 0,248 m - película retrorrefletiva tipo I + SI - fornecimento e implantação</v>
      </c>
      <c r="G52" s="173" t="str">
        <f ca="1">IF($D52&lt;&gt;"Serviço","",OFFSET(ORÇAMENTO!S$15,ROW(G52)-ROW(G$15),0))</f>
        <v>un</v>
      </c>
      <c r="H52" s="124">
        <f ca="1">IF($D52&lt;&gt;"Serviço",0,IF(ACOMPANHAMENTO="BM",ROUND(OFFSET(ORÇAMENTO!AJ$15,ROW(H52)-ROW(H$15),0),15-13*ORÇAMENTO!$AF$7),SUMPRODUCT(($Q$12:$AA$12&lt;&gt;"")*ROUND($Q52:$AA52,15-13*ORÇAMENTO!$AF$7))))</f>
        <v>1</v>
      </c>
      <c r="I52" s="561"/>
      <c r="K52" s="174"/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6</v>
      </c>
      <c r="N52" s="177" t="str">
        <f ca="1">IF($D52&lt;&gt;"Serviço","",IF(AUTOEVENTO="Manual",IF($A52=0,"&lt;-- defina o número do agrupador",OFFSET(EVENTOS!$D$14,$A52,0)),OFFSET($F$15,$A52,0)))</f>
        <v>SINALIZAÇÃO</v>
      </c>
      <c r="O52" s="178"/>
      <c r="Q52" s="178"/>
      <c r="R52" s="179"/>
      <c r="S52" s="179"/>
      <c r="T52" s="179"/>
      <c r="U52" s="179"/>
      <c r="V52" s="179"/>
      <c r="W52" s="179"/>
      <c r="X52" s="179"/>
      <c r="Y52" s="179"/>
      <c r="Z52" s="180"/>
      <c r="AB52" s="544">
        <f ca="1">IF(AND($D52="Serviço",AB$12&lt;&gt;0,$H52&gt;0,OR(AUTOEVENTO&lt;&gt;"manual",$M52&lt;&gt;1)), IF(Import.TipoArredondamento&lt;&gt;"TransfereGOV", ROUND(OFFSET($P52,0,AB$13),15-13*ORÇAMENTO!$AF$7)/$H52*OFFSET(ORÇAMENTO!$X$15,ROW(AB52)-ROW(AB$15),0), ROUND(ROUND(OFFSET($P52,0,AB$13),15-13*ORÇAMENTO!$AF$7)*OFFSET(ORÇAMENTO!$W$15,ROW(AB52)-ROW(AB$15),0),15-13*ORÇAMENTO!$AF$11)),0)</f>
        <v>0</v>
      </c>
      <c r="AC52" s="545">
        <f ca="1">IF(AND($D52="Serviço",AC$12&lt;&gt;0,$H52&gt;0,OR(AUTOEVENTO&lt;&gt;"manual",$M52&lt;&gt;1)), IF(Import.TipoArredondamento&lt;&gt;"TransfereGOV", ROUND(OFFSET($P52,0,AC$13),15-13*ORÇAMENTO!$AF$7)/$H52*OFFSET(ORÇAMENTO!$X$15,ROW(AC52)-ROW(AC$15),0), ROUND(ROUND(OFFSET($P52,0,AC$13),15-13*ORÇAMENTO!$AF$7)*OFFSET(ORÇAMENTO!$W$15,ROW(AC52)-ROW(AC$15),0),15-13*ORÇAMENTO!$AF$11)),0)</f>
        <v>0</v>
      </c>
      <c r="AD52" s="545">
        <f ca="1">IF(AND($D52="Serviço",AD$12&lt;&gt;0,$H52&gt;0,OR(AUTOEVENTO&lt;&gt;"manual",$M52&lt;&gt;1)), IF(Import.TipoArredondamento&lt;&gt;"TransfereGOV", ROUND(OFFSET($P52,0,AD$13),15-13*ORÇAMENTO!$AF$7)/$H52*OFFSET(ORÇAMENTO!$X$15,ROW(AD52)-ROW(AD$15),0), ROUND(ROUND(OFFSET($P52,0,AD$13),15-13*ORÇAMENTO!$AF$7)*OFFSET(ORÇAMENTO!$W$15,ROW(AD52)-ROW(AD$15),0),15-13*ORÇAMENTO!$AF$11)),0)</f>
        <v>0</v>
      </c>
      <c r="AE52" s="545">
        <f ca="1">IF(AND($D52="Serviço",AE$12&lt;&gt;0,$H52&gt;0,OR(AUTOEVENTO&lt;&gt;"manual",$M52&lt;&gt;1)), IF(Import.TipoArredondamento&lt;&gt;"TransfereGOV", ROUND(OFFSET($P52,0,AE$13),15-13*ORÇAMENTO!$AF$7)/$H52*OFFSET(ORÇAMENTO!$X$15,ROW(AE52)-ROW(AE$15),0), ROUND(ROUND(OFFSET($P52,0,AE$13),15-13*ORÇAMENTO!$AF$7)*OFFSET(ORÇAMENTO!$W$15,ROW(AE52)-ROW(AE$15),0),15-13*ORÇAMENTO!$AF$11)),0)</f>
        <v>0</v>
      </c>
      <c r="AF52" s="545">
        <f ca="1">IF(AND($D52="Serviço",AF$12&lt;&gt;0,$H52&gt;0,OR(AUTOEVENTO&lt;&gt;"manual",$M52&lt;&gt;1)), IF(Import.TipoArredondamento&lt;&gt;"TransfereGOV", ROUND(OFFSET($P52,0,AF$13),15-13*ORÇAMENTO!$AF$7)/$H52*OFFSET(ORÇAMENTO!$X$15,ROW(AF52)-ROW(AF$15),0), ROUND(ROUND(OFFSET($P52,0,AF$13),15-13*ORÇAMENTO!$AF$7)*OFFSET(ORÇAMENTO!$W$15,ROW(AF52)-ROW(AF$15),0),15-13*ORÇAMENTO!$AF$11)),0)</f>
        <v>0</v>
      </c>
      <c r="AG52" s="545">
        <f ca="1">IF(AND($D52="Serviço",AG$12&lt;&gt;0,$H52&gt;0,OR(AUTOEVENTO&lt;&gt;"manual",$M52&lt;&gt;1)), IF(Import.TipoArredondamento&lt;&gt;"TransfereGOV", ROUND(OFFSET($P52,0,AG$13),15-13*ORÇAMENTO!$AF$7)/$H52*OFFSET(ORÇAMENTO!$X$15,ROW(AG52)-ROW(AG$15),0), ROUND(ROUND(OFFSET($P52,0,AG$13),15-13*ORÇAMENTO!$AF$7)*OFFSET(ORÇAMENTO!$W$15,ROW(AG52)-ROW(AG$15),0),15-13*ORÇAMENTO!$AF$11)),0)</f>
        <v>0</v>
      </c>
      <c r="AH52" s="545">
        <f ca="1">IF(AND($D52="Serviço",AH$12&lt;&gt;0,$H52&gt;0,OR(AUTOEVENTO&lt;&gt;"manual",$M52&lt;&gt;1)), IF(Import.TipoArredondamento&lt;&gt;"TransfereGOV", ROUND(OFFSET($P52,0,AH$13),15-13*ORÇAMENTO!$AF$7)/$H52*OFFSET(ORÇAMENTO!$X$15,ROW(AH52)-ROW(AH$15),0), ROUND(ROUND(OFFSET($P52,0,AH$13),15-13*ORÇAMENTO!$AF$7)*OFFSET(ORÇAMENTO!$W$15,ROW(AH52)-ROW(AH$15),0),15-13*ORÇAMENTO!$AF$11)),0)</f>
        <v>0</v>
      </c>
      <c r="AI52" s="545">
        <f ca="1">IF(AND($D52="Serviço",AI$12&lt;&gt;0,$H52&gt;0,OR(AUTOEVENTO&lt;&gt;"manual",$M52&lt;&gt;1)), IF(Import.TipoArredondamento&lt;&gt;"TransfereGOV", ROUND(OFFSET($P52,0,AI$13),15-13*ORÇAMENTO!$AF$7)/$H52*OFFSET(ORÇAMENTO!$X$15,ROW(AI52)-ROW(AI$15),0), ROUND(ROUND(OFFSET($P52,0,AI$13),15-13*ORÇAMENTO!$AF$7)*OFFSET(ORÇAMENTO!$W$15,ROW(AI52)-ROW(AI$15),0),15-13*ORÇAMENTO!$AF$11)),0)</f>
        <v>0</v>
      </c>
      <c r="AJ52" s="545">
        <f ca="1">IF(AND($D52="Serviço",AJ$12&lt;&gt;0,$H52&gt;0,OR(AUTOEVENTO&lt;&gt;"manual",$M52&lt;&gt;1)), IF(Import.TipoArredondamento&lt;&gt;"TransfereGOV", ROUND(OFFSET($P52,0,AJ$13),15-13*ORÇAMENTO!$AF$7)/$H52*OFFSET(ORÇAMENTO!$X$15,ROW(AJ52)-ROW(AJ$15),0), ROUND(ROUND(OFFSET($P52,0,AJ$13),15-13*ORÇAMENTO!$AF$7)*OFFSET(ORÇAMENTO!$W$15,ROW(AJ52)-ROW(AJ$15),0),15-13*ORÇAMENTO!$AF$11)),0)</f>
        <v>0</v>
      </c>
      <c r="AK52" s="546">
        <f ca="1">IF(AND($D52="Serviço",AK$12&lt;&gt;0,$H52&gt;0,OR(AUTOEVENTO&lt;&gt;"manual",$M52&lt;&gt;1)), IF(Import.TipoArredondamento&lt;&gt;"TransfereGOV", ROUND(OFFSET($P52,0,AK$13),15-13*ORÇAMENTO!$AF$7)/$H52*OFFSET(ORÇAMENTO!$X$15,ROW(AK52)-ROW(AK$15),0), ROUND(ROUND(OFFSET($P52,0,AK$13),15-13*ORÇAMENTO!$AF$7)*OFFSET(ORÇAMENTO!$W$15,ROW(AK52)-ROW(AK$15),0),15-13*ORÇAMENTO!$AF$11)),0)</f>
        <v>0</v>
      </c>
      <c r="AM52" s="181">
        <f ca="1">IF($D52&lt;&gt;"Serviço",0,IF(AND(AUTOEVENTO="Manual",$M52=1),0,IF(OFFSET(CRONOPLE!$F$14,$M52,AM$13)="",10^12,OFFSET(CRONOPLE!$F$14,$M52,AM$13))))</f>
        <v>1000000000000</v>
      </c>
      <c r="AN52" s="181">
        <f ca="1">IF($D52&lt;&gt;"Serviço",0,IF(AND(AUTOEVENTO="Manual",$M52=1),0,IF(OFFSET(CRONOPLE!$F$14,$M52,AN$13)="",10^12,OFFSET(CRONOPLE!$F$14,$M52,AN$13))))</f>
        <v>1000000000000</v>
      </c>
      <c r="AO52" s="181">
        <f ca="1">IF($D52&lt;&gt;"Serviço",0,IF(AND(AUTOEVENTO="Manual",$M52=1),0,IF(OFFSET(CRONOPLE!$F$14,$M52,AO$13)="",10^12,OFFSET(CRONOPLE!$F$14,$M52,AO$13))))</f>
        <v>1000000000000</v>
      </c>
      <c r="AP52" s="181">
        <f ca="1">IF($D52&lt;&gt;"Serviço",0,IF(AND(AUTOEVENTO="Manual",$M52=1),0,IF(OFFSET(CRONOPLE!$F$14,$M52,AP$13)="",10^12,OFFSET(CRONOPLE!$F$14,$M52,AP$13))))</f>
        <v>1000000000000</v>
      </c>
      <c r="AQ52" s="181">
        <f ca="1">IF($D52&lt;&gt;"Serviço",0,IF(AND(AUTOEVENTO="Manual",$M52=1),0,IF(OFFSET(CRONOPLE!$F$14,$M52,AQ$13)="",10^12,OFFSET(CRONOPLE!$F$14,$M52,AQ$13))))</f>
        <v>1000000000000</v>
      </c>
      <c r="AR52" s="181">
        <f ca="1">IF($D52&lt;&gt;"Serviço",0,IF(AND(AUTOEVENTO="Manual",$M52=1),0,IF(OFFSET(CRONOPLE!$F$14,$M52,AR$13)="",10^12,OFFSET(CRONOPLE!$F$14,$M52,AR$13))))</f>
        <v>1000000000000</v>
      </c>
      <c r="AS52" s="181">
        <f ca="1">IF($D52&lt;&gt;"Serviço",0,IF(AND(AUTOEVENTO="Manual",$M52=1),0,IF(OFFSET(CRONOPLE!$F$14,$M52,AS$13)="",10^12,OFFSET(CRONOPLE!$F$14,$M52,AS$13))))</f>
        <v>1000000000000</v>
      </c>
      <c r="AT52" s="181">
        <f ca="1">IF($D52&lt;&gt;"Serviço",0,IF(AND(AUTOEVENTO="Manual",$M52=1),0,IF(OFFSET(CRONOPLE!$F$14,$M52,AT$13)="",10^12,OFFSET(CRONOPLE!$F$14,$M52,AT$13))))</f>
        <v>1000000000000</v>
      </c>
      <c r="AU52" s="181">
        <f ca="1">IF($D52&lt;&gt;"Serviço",0,IF(AND(AUTOEVENTO="Manual",$M52=1),0,IF(OFFSET(CRONOPLE!$F$14,$M52,AU$13)="",10^12,OFFSET(CRONOPLE!$F$14,$M52,AU$13))))</f>
        <v>1000000000000</v>
      </c>
      <c r="AV52" s="181">
        <f ca="1">IF($D52&lt;&gt;"Serviço",0,IF(AND(AUTOEVENTO="Manual",$M52=1),0,IF(OFFSET(CRONOPLE!$F$14,$M52,AV$13)="",10^12,OFFSET(CRONOPLE!$F$14,$M52,AV$13))))</f>
        <v>1000000000000</v>
      </c>
      <c r="AX52" s="182">
        <f ca="1">IF($D52&lt;&gt;"Serviço",0,IF(OR(AND(AUTOEVENTO="Manual",$M52=1),$M52&gt;(ROW(PLE.lastrow)-ROW(PLE.firstrow))),0,IF(OFFSET(PLE!$G$14,$M52,AX$13)="",10^12,OFFSET(PLE!$G$14,$M52,AX$13))))</f>
        <v>1000000000000</v>
      </c>
      <c r="AY52" s="182">
        <f ca="1">IF($D52&lt;&gt;"Serviço",0,IF(OR(AND(AUTOEVENTO="Manual",$M52=1),$M52&gt;(ROW(PLE.lastrow)-ROW(PLE.firstrow))),0,IF(OFFSET(PLE!$G$14,$M52,AY$13)="",10^12,OFFSET(PLE!$G$14,$M52,AY$13))))</f>
        <v>1000000000000</v>
      </c>
      <c r="AZ52" s="182">
        <f ca="1">IF($D52&lt;&gt;"Serviço",0,IF(OR(AND(AUTOEVENTO="Manual",$M52=1),$M52&gt;(ROW(PLE.lastrow)-ROW(PLE.firstrow))),0,IF(OFFSET(PLE!$G$14,$M52,AZ$13)="",10^12,OFFSET(PLE!$G$14,$M52,AZ$13))))</f>
        <v>1000000000000</v>
      </c>
      <c r="BA52" s="182">
        <f ca="1">IF($D52&lt;&gt;"Serviço",0,IF(OR(AND(AUTOEVENTO="Manual",$M52=1),$M52&gt;(ROW(PLE.lastrow)-ROW(PLE.firstrow))),0,IF(OFFSET(PLE!$G$14,$M52,BA$13)="",10^12,OFFSET(PLE!$G$14,$M52,BA$13))))</f>
        <v>1000000000000</v>
      </c>
      <c r="BB52" s="182">
        <f ca="1">IF($D52&lt;&gt;"Serviço",0,IF(OR(AND(AUTOEVENTO="Manual",$M52=1),$M52&gt;(ROW(PLE.lastrow)-ROW(PLE.firstrow))),0,IF(OFFSET(PLE!$G$14,$M52,BB$13)="",10^12,OFFSET(PLE!$G$14,$M52,BB$13))))</f>
        <v>1000000000000</v>
      </c>
      <c r="BC52" s="182">
        <f ca="1">IF($D52&lt;&gt;"Serviço",0,IF(OR(AND(AUTOEVENTO="Manual",$M52=1),$M52&gt;(ROW(PLE.lastrow)-ROW(PLE.firstrow))),0,IF(OFFSET(PLE!$G$14,$M52,BC$13)="",10^12,OFFSET(PLE!$G$14,$M52,BC$13))))</f>
        <v>1000000000000</v>
      </c>
      <c r="BD52" s="182">
        <f ca="1">IF($D52&lt;&gt;"Serviço",0,IF(OR(AND(AUTOEVENTO="Manual",$M52=1),$M52&gt;(ROW(PLE.lastrow)-ROW(PLE.firstrow))),0,IF(OFFSET(PLE!$G$14,$M52,BD$13)="",10^12,OFFSET(PLE!$G$14,$M52,BD$13))))</f>
        <v>1000000000000</v>
      </c>
      <c r="BE52" s="182">
        <f ca="1">IF($D52&lt;&gt;"Serviço",0,IF(OR(AND(AUTOEVENTO="Manual",$M52=1),$M52&gt;(ROW(PLE.lastrow)-ROW(PLE.firstrow))),0,IF(OFFSET(PLE!$G$14,$M52,BE$13)="",10^12,OFFSET(PLE!$G$14,$M52,BE$13))))</f>
        <v>1000000000000</v>
      </c>
      <c r="BF52" s="182">
        <f ca="1">IF($D52&lt;&gt;"Serviço",0,IF(OR(AND(AUTOEVENTO="Manual",$M52=1),$M52&gt;(ROW(PLE.lastrow)-ROW(PLE.firstrow))),0,IF(OFFSET(PLE!$G$14,$M52,BF$13)="",10^12,OFFSET(PLE!$G$14,$M52,BF$13))))</f>
        <v>1000000000000</v>
      </c>
      <c r="BG52" s="18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25.5" x14ac:dyDescent="0.2">
      <c r="A53" s="7" t="str">
        <f ca="1">IF(AUTOEVENTO="Manual",IF(K53&lt;&gt;"",MIN(VALUE(LEFT(K53,FIND(".",K53)-1)),COUNTA(EVENTOS.Lista)),0),IF(OR($B53&gt;AUTOEVENTO,$B53="S",$B53=0),SUBSTITUTE(OFFSET($A53,-1,0),IF($D53="Serviço",".",""),""),ROW(A53)-ROW($A$15)&amp;"."))</f>
        <v>31</v>
      </c>
      <c r="B53" s="7" t="str">
        <f ca="1">OFFSET(ORÇAMENTO!C$15,ROW(B53)-ROW(B$15),0)</f>
        <v>S</v>
      </c>
      <c r="C53" s="7" t="str">
        <f ca="1">OFFSET(ORÇAMENTO!L$15,ROW(C53)-ROW(C$15),0)</f>
        <v>F</v>
      </c>
      <c r="D53" s="118" t="str">
        <f ca="1">OFFSET(ORÇAMENTO!N$15,ROW(D53)-ROW(D$15),0)</f>
        <v>Serviço</v>
      </c>
      <c r="E53" s="119" t="str">
        <f ca="1">OFFSET(ORÇAMENTO!O$15,ROW(E53)-ROW(E$15),0)</f>
        <v>1.5.7.</v>
      </c>
      <c r="F53" s="172" t="str">
        <f ca="1">OFFSET(ORÇAMENTO!R$15,ROW(F53)-ROW(F$15),0)</f>
        <v>Suporte metálico galvanizado para placa de advertência ou regulamentação - lado ou diâmetro de 0,60 m - fornecimento e implantação</v>
      </c>
      <c r="G53" s="173" t="str">
        <f ca="1">IF($D53&lt;&gt;"Serviço","",OFFSET(ORÇAMENTO!S$15,ROW(G53)-ROW(G$15),0))</f>
        <v>un</v>
      </c>
      <c r="H53" s="124">
        <f ca="1">IF($D53&lt;&gt;"Serviço",0,IF(ACOMPANHAMENTO="BM",ROUND(OFFSET(ORÇAMENTO!AJ$15,ROW(H53)-ROW(H$15),0),15-13*ORÇAMENTO!$AF$7),SUMPRODUCT(($Q$12:$AA$12&lt;&gt;"")*ROUND($Q53:$AA53,15-13*ORÇAMENTO!$AF$7))))</f>
        <v>12</v>
      </c>
      <c r="I53" s="561"/>
      <c r="K53" s="174"/>
      <c r="L53" s="175" t="s">
        <v>255</v>
      </c>
      <c r="M53" s="176">
        <f ca="1">IF($D53&lt;&gt;"Serviço","",IF(AUTOEVENTO="manual",$A53,IF(ISERROR(MATCH($A53,$A$15:OFFSET($A53,-1,0),0)),MAX($M$15:OFFSET(M53,-1,0))+1,INDEX($M$15:OFFSET(M53,-1,0),MATCH($A53,$A$15:OFFSET($A53,-1,0),0)))))</f>
        <v>6</v>
      </c>
      <c r="N53" s="177" t="str">
        <f ca="1">IF($D53&lt;&gt;"Serviço","",IF(AUTOEVENTO="Manual",IF($A53=0,"&lt;-- defina o número do agrupador",OFFSET(EVENTOS!$D$14,$A53,0)),OFFSET($F$15,$A53,0)))</f>
        <v>SINALIZAÇÃO</v>
      </c>
      <c r="O53" s="178"/>
      <c r="Q53" s="178"/>
      <c r="R53" s="179"/>
      <c r="S53" s="179"/>
      <c r="T53" s="179"/>
      <c r="U53" s="179"/>
      <c r="V53" s="179"/>
      <c r="W53" s="179"/>
      <c r="X53" s="179"/>
      <c r="Y53" s="179"/>
      <c r="Z53" s="180"/>
      <c r="AB53" s="544">
        <f ca="1">IF(AND($D53="Serviço",AB$12&lt;&gt;0,$H53&gt;0,OR(AUTOEVENTO&lt;&gt;"manual",$M53&lt;&gt;1)), IF(Import.TipoArredondamento&lt;&gt;"TransfereGOV", ROUND(OFFSET($P53,0,AB$13),15-13*ORÇAMENTO!$AF$7)/$H53*OFFSET(ORÇAMENTO!$X$15,ROW(AB53)-ROW(AB$15),0), ROUND(ROUND(OFFSET($P53,0,AB$13),15-13*ORÇAMENTO!$AF$7)*OFFSET(ORÇAMENTO!$W$15,ROW(AB53)-ROW(AB$15),0),15-13*ORÇAMENTO!$AF$11)),0)</f>
        <v>0</v>
      </c>
      <c r="AC53" s="545">
        <f ca="1">IF(AND($D53="Serviço",AC$12&lt;&gt;0,$H53&gt;0,OR(AUTOEVENTO&lt;&gt;"manual",$M53&lt;&gt;1)), IF(Import.TipoArredondamento&lt;&gt;"TransfereGOV", ROUND(OFFSET($P53,0,AC$13),15-13*ORÇAMENTO!$AF$7)/$H53*OFFSET(ORÇAMENTO!$X$15,ROW(AC53)-ROW(AC$15),0), ROUND(ROUND(OFFSET($P53,0,AC$13),15-13*ORÇAMENTO!$AF$7)*OFFSET(ORÇAMENTO!$W$15,ROW(AC53)-ROW(AC$15),0),15-13*ORÇAMENTO!$AF$11)),0)</f>
        <v>0</v>
      </c>
      <c r="AD53" s="545">
        <f ca="1">IF(AND($D53="Serviço",AD$12&lt;&gt;0,$H53&gt;0,OR(AUTOEVENTO&lt;&gt;"manual",$M53&lt;&gt;1)), IF(Import.TipoArredondamento&lt;&gt;"TransfereGOV", ROUND(OFFSET($P53,0,AD$13),15-13*ORÇAMENTO!$AF$7)/$H53*OFFSET(ORÇAMENTO!$X$15,ROW(AD53)-ROW(AD$15),0), ROUND(ROUND(OFFSET($P53,0,AD$13),15-13*ORÇAMENTO!$AF$7)*OFFSET(ORÇAMENTO!$W$15,ROW(AD53)-ROW(AD$15),0),15-13*ORÇAMENTO!$AF$11)),0)</f>
        <v>0</v>
      </c>
      <c r="AE53" s="545">
        <f ca="1">IF(AND($D53="Serviço",AE$12&lt;&gt;0,$H53&gt;0,OR(AUTOEVENTO&lt;&gt;"manual",$M53&lt;&gt;1)), IF(Import.TipoArredondamento&lt;&gt;"TransfereGOV", ROUND(OFFSET($P53,0,AE$13),15-13*ORÇAMENTO!$AF$7)/$H53*OFFSET(ORÇAMENTO!$X$15,ROW(AE53)-ROW(AE$15),0), ROUND(ROUND(OFFSET($P53,0,AE$13),15-13*ORÇAMENTO!$AF$7)*OFFSET(ORÇAMENTO!$W$15,ROW(AE53)-ROW(AE$15),0),15-13*ORÇAMENTO!$AF$11)),0)</f>
        <v>0</v>
      </c>
      <c r="AF53" s="545">
        <f ca="1">IF(AND($D53="Serviço",AF$12&lt;&gt;0,$H53&gt;0,OR(AUTOEVENTO&lt;&gt;"manual",$M53&lt;&gt;1)), IF(Import.TipoArredondamento&lt;&gt;"TransfereGOV", ROUND(OFFSET($P53,0,AF$13),15-13*ORÇAMENTO!$AF$7)/$H53*OFFSET(ORÇAMENTO!$X$15,ROW(AF53)-ROW(AF$15),0), ROUND(ROUND(OFFSET($P53,0,AF$13),15-13*ORÇAMENTO!$AF$7)*OFFSET(ORÇAMENTO!$W$15,ROW(AF53)-ROW(AF$15),0),15-13*ORÇAMENTO!$AF$11)),0)</f>
        <v>0</v>
      </c>
      <c r="AG53" s="545">
        <f ca="1">IF(AND($D53="Serviço",AG$12&lt;&gt;0,$H53&gt;0,OR(AUTOEVENTO&lt;&gt;"manual",$M53&lt;&gt;1)), IF(Import.TipoArredondamento&lt;&gt;"TransfereGOV", ROUND(OFFSET($P53,0,AG$13),15-13*ORÇAMENTO!$AF$7)/$H53*OFFSET(ORÇAMENTO!$X$15,ROW(AG53)-ROW(AG$15),0), ROUND(ROUND(OFFSET($P53,0,AG$13),15-13*ORÇAMENTO!$AF$7)*OFFSET(ORÇAMENTO!$W$15,ROW(AG53)-ROW(AG$15),0),15-13*ORÇAMENTO!$AF$11)),0)</f>
        <v>0</v>
      </c>
      <c r="AH53" s="545">
        <f ca="1">IF(AND($D53="Serviço",AH$12&lt;&gt;0,$H53&gt;0,OR(AUTOEVENTO&lt;&gt;"manual",$M53&lt;&gt;1)), IF(Import.TipoArredondamento&lt;&gt;"TransfereGOV", ROUND(OFFSET($P53,0,AH$13),15-13*ORÇAMENTO!$AF$7)/$H53*OFFSET(ORÇAMENTO!$X$15,ROW(AH53)-ROW(AH$15),0), ROUND(ROUND(OFFSET($P53,0,AH$13),15-13*ORÇAMENTO!$AF$7)*OFFSET(ORÇAMENTO!$W$15,ROW(AH53)-ROW(AH$15),0),15-13*ORÇAMENTO!$AF$11)),0)</f>
        <v>0</v>
      </c>
      <c r="AI53" s="545">
        <f ca="1">IF(AND($D53="Serviço",AI$12&lt;&gt;0,$H53&gt;0,OR(AUTOEVENTO&lt;&gt;"manual",$M53&lt;&gt;1)), IF(Import.TipoArredondamento&lt;&gt;"TransfereGOV", ROUND(OFFSET($P53,0,AI$13),15-13*ORÇAMENTO!$AF$7)/$H53*OFFSET(ORÇAMENTO!$X$15,ROW(AI53)-ROW(AI$15),0), ROUND(ROUND(OFFSET($P53,0,AI$13),15-13*ORÇAMENTO!$AF$7)*OFFSET(ORÇAMENTO!$W$15,ROW(AI53)-ROW(AI$15),0),15-13*ORÇAMENTO!$AF$11)),0)</f>
        <v>0</v>
      </c>
      <c r="AJ53" s="545">
        <f ca="1">IF(AND($D53="Serviço",AJ$12&lt;&gt;0,$H53&gt;0,OR(AUTOEVENTO&lt;&gt;"manual",$M53&lt;&gt;1)), IF(Import.TipoArredondamento&lt;&gt;"TransfereGOV", ROUND(OFFSET($P53,0,AJ$13),15-13*ORÇAMENTO!$AF$7)/$H53*OFFSET(ORÇAMENTO!$X$15,ROW(AJ53)-ROW(AJ$15),0), ROUND(ROUND(OFFSET($P53,0,AJ$13),15-13*ORÇAMENTO!$AF$7)*OFFSET(ORÇAMENTO!$W$15,ROW(AJ53)-ROW(AJ$15),0),15-13*ORÇAMENTO!$AF$11)),0)</f>
        <v>0</v>
      </c>
      <c r="AK53" s="546">
        <f ca="1">IF(AND($D53="Serviço",AK$12&lt;&gt;0,$H53&gt;0,OR(AUTOEVENTO&lt;&gt;"manual",$M53&lt;&gt;1)), IF(Import.TipoArredondamento&lt;&gt;"TransfereGOV", ROUND(OFFSET($P53,0,AK$13),15-13*ORÇAMENTO!$AF$7)/$H53*OFFSET(ORÇAMENTO!$X$15,ROW(AK53)-ROW(AK$15),0), ROUND(ROUND(OFFSET($P53,0,AK$13),15-13*ORÇAMENTO!$AF$7)*OFFSET(ORÇAMENTO!$W$15,ROW(AK53)-ROW(AK$15),0),15-13*ORÇAMENTO!$AF$11)),0)</f>
        <v>0</v>
      </c>
      <c r="AM53" s="181">
        <f ca="1">IF($D53&lt;&gt;"Serviço",0,IF(AND(AUTOEVENTO="Manual",$M53=1),0,IF(OFFSET(CRONOPLE!$F$14,$M53,AM$13)="",10^12,OFFSET(CRONOPLE!$F$14,$M53,AM$13))))</f>
        <v>1000000000000</v>
      </c>
      <c r="AN53" s="181">
        <f ca="1">IF($D53&lt;&gt;"Serviço",0,IF(AND(AUTOEVENTO="Manual",$M53=1),0,IF(OFFSET(CRONOPLE!$F$14,$M53,AN$13)="",10^12,OFFSET(CRONOPLE!$F$14,$M53,AN$13))))</f>
        <v>1000000000000</v>
      </c>
      <c r="AO53" s="181">
        <f ca="1">IF($D53&lt;&gt;"Serviço",0,IF(AND(AUTOEVENTO="Manual",$M53=1),0,IF(OFFSET(CRONOPLE!$F$14,$M53,AO$13)="",10^12,OFFSET(CRONOPLE!$F$14,$M53,AO$13))))</f>
        <v>1000000000000</v>
      </c>
      <c r="AP53" s="181">
        <f ca="1">IF($D53&lt;&gt;"Serviço",0,IF(AND(AUTOEVENTO="Manual",$M53=1),0,IF(OFFSET(CRONOPLE!$F$14,$M53,AP$13)="",10^12,OFFSET(CRONOPLE!$F$14,$M53,AP$13))))</f>
        <v>1000000000000</v>
      </c>
      <c r="AQ53" s="181">
        <f ca="1">IF($D53&lt;&gt;"Serviço",0,IF(AND(AUTOEVENTO="Manual",$M53=1),0,IF(OFFSET(CRONOPLE!$F$14,$M53,AQ$13)="",10^12,OFFSET(CRONOPLE!$F$14,$M53,AQ$13))))</f>
        <v>1000000000000</v>
      </c>
      <c r="AR53" s="181">
        <f ca="1">IF($D53&lt;&gt;"Serviço",0,IF(AND(AUTOEVENTO="Manual",$M53=1),0,IF(OFFSET(CRONOPLE!$F$14,$M53,AR$13)="",10^12,OFFSET(CRONOPLE!$F$14,$M53,AR$13))))</f>
        <v>1000000000000</v>
      </c>
      <c r="AS53" s="181">
        <f ca="1">IF($D53&lt;&gt;"Serviço",0,IF(AND(AUTOEVENTO="Manual",$M53=1),0,IF(OFFSET(CRONOPLE!$F$14,$M53,AS$13)="",10^12,OFFSET(CRONOPLE!$F$14,$M53,AS$13))))</f>
        <v>1000000000000</v>
      </c>
      <c r="AT53" s="181">
        <f ca="1">IF($D53&lt;&gt;"Serviço",0,IF(AND(AUTOEVENTO="Manual",$M53=1),0,IF(OFFSET(CRONOPLE!$F$14,$M53,AT$13)="",10^12,OFFSET(CRONOPLE!$F$14,$M53,AT$13))))</f>
        <v>1000000000000</v>
      </c>
      <c r="AU53" s="181">
        <f ca="1">IF($D53&lt;&gt;"Serviço",0,IF(AND(AUTOEVENTO="Manual",$M53=1),0,IF(OFFSET(CRONOPLE!$F$14,$M53,AU$13)="",10^12,OFFSET(CRONOPLE!$F$14,$M53,AU$13))))</f>
        <v>1000000000000</v>
      </c>
      <c r="AV53" s="181">
        <f ca="1">IF($D53&lt;&gt;"Serviço",0,IF(AND(AUTOEVENTO="Manual",$M53=1),0,IF(OFFSET(CRONOPLE!$F$14,$M53,AV$13)="",10^12,OFFSET(CRONOPLE!$F$14,$M53,AV$13))))</f>
        <v>1000000000000</v>
      </c>
      <c r="AX53" s="182">
        <f ca="1">IF($D53&lt;&gt;"Serviço",0,IF(OR(AND(AUTOEVENTO="Manual",$M53=1),$M53&gt;(ROW(PLE.lastrow)-ROW(PLE.firstrow))),0,IF(OFFSET(PLE!$G$14,$M53,AX$13)="",10^12,OFFSET(PLE!$G$14,$M53,AX$13))))</f>
        <v>1000000000000</v>
      </c>
      <c r="AY53" s="182">
        <f ca="1">IF($D53&lt;&gt;"Serviço",0,IF(OR(AND(AUTOEVENTO="Manual",$M53=1),$M53&gt;(ROW(PLE.lastrow)-ROW(PLE.firstrow))),0,IF(OFFSET(PLE!$G$14,$M53,AY$13)="",10^12,OFFSET(PLE!$G$14,$M53,AY$13))))</f>
        <v>1000000000000</v>
      </c>
      <c r="AZ53" s="182">
        <f ca="1">IF($D53&lt;&gt;"Serviço",0,IF(OR(AND(AUTOEVENTO="Manual",$M53=1),$M53&gt;(ROW(PLE.lastrow)-ROW(PLE.firstrow))),0,IF(OFFSET(PLE!$G$14,$M53,AZ$13)="",10^12,OFFSET(PLE!$G$14,$M53,AZ$13))))</f>
        <v>1000000000000</v>
      </c>
      <c r="BA53" s="182">
        <f ca="1">IF($D53&lt;&gt;"Serviço",0,IF(OR(AND(AUTOEVENTO="Manual",$M53=1),$M53&gt;(ROW(PLE.lastrow)-ROW(PLE.firstrow))),0,IF(OFFSET(PLE!$G$14,$M53,BA$13)="",10^12,OFFSET(PLE!$G$14,$M53,BA$13))))</f>
        <v>1000000000000</v>
      </c>
      <c r="BB53" s="182">
        <f ca="1">IF($D53&lt;&gt;"Serviço",0,IF(OR(AND(AUTOEVENTO="Manual",$M53=1),$M53&gt;(ROW(PLE.lastrow)-ROW(PLE.firstrow))),0,IF(OFFSET(PLE!$G$14,$M53,BB$13)="",10^12,OFFSET(PLE!$G$14,$M53,BB$13))))</f>
        <v>1000000000000</v>
      </c>
      <c r="BC53" s="182">
        <f ca="1">IF($D53&lt;&gt;"Serviço",0,IF(OR(AND(AUTOEVENTO="Manual",$M53=1),$M53&gt;(ROW(PLE.lastrow)-ROW(PLE.firstrow))),0,IF(OFFSET(PLE!$G$14,$M53,BC$13)="",10^12,OFFSET(PLE!$G$14,$M53,BC$13))))</f>
        <v>1000000000000</v>
      </c>
      <c r="BD53" s="182">
        <f ca="1">IF($D53&lt;&gt;"Serviço",0,IF(OR(AND(AUTOEVENTO="Manual",$M53=1),$M53&gt;(ROW(PLE.lastrow)-ROW(PLE.firstrow))),0,IF(OFFSET(PLE!$G$14,$M53,BD$13)="",10^12,OFFSET(PLE!$G$14,$M53,BD$13))))</f>
        <v>1000000000000</v>
      </c>
      <c r="BE53" s="182">
        <f ca="1">IF($D53&lt;&gt;"Serviço",0,IF(OR(AND(AUTOEVENTO="Manual",$M53=1),$M53&gt;(ROW(PLE.lastrow)-ROW(PLE.firstrow))),0,IF(OFFSET(PLE!$G$14,$M53,BE$13)="",10^12,OFFSET(PLE!$G$14,$M53,BE$13))))</f>
        <v>1000000000000</v>
      </c>
      <c r="BF53" s="182">
        <f ca="1">IF($D53&lt;&gt;"Serviço",0,IF(OR(AND(AUTOEVENTO="Manual",$M53=1),$M53&gt;(ROW(PLE.lastrow)-ROW(PLE.firstrow))),0,IF(OFFSET(PLE!$G$14,$M53,BF$13)="",10^12,OFFSET(PLE!$G$14,$M53,BF$13))))</f>
        <v>1000000000000</v>
      </c>
      <c r="BG53" s="182">
        <f ca="1">IF($D53&lt;&gt;"Serviço",0,IF(OR(AND(AUTOEVENTO="Manual",$M53=1),$M53&gt;(ROW(PLE.lastrow)-ROW(PLE.firstrow))),0,IF(OFFSET(PLE!$G$14,$M53,BG$13)="",10^12,OFFSET(PLE!$G$14,$M53,BG$13))))</f>
        <v>1000000000000</v>
      </c>
    </row>
    <row r="54" spans="1:59" ht="12.75" x14ac:dyDescent="0.2">
      <c r="A54" s="7" t="str">
        <f t="shared" ca="1" si="8"/>
        <v>31</v>
      </c>
      <c r="B54" s="7" t="str">
        <f ca="1">OFFSET(ORÇAMENTO!C$15,ROW(B54)-ROW(B$15),0)</f>
        <v>S</v>
      </c>
      <c r="C54" s="7" t="str">
        <f ca="1">OFFSET(ORÇAMENTO!L$15,ROW(C54)-ROW(C$15),0)</f>
        <v>F</v>
      </c>
      <c r="D54" s="118" t="str">
        <f ca="1">OFFSET(ORÇAMENTO!N$15,ROW(D54)-ROW(D$15),0)</f>
        <v>Serviço</v>
      </c>
      <c r="E54" s="119" t="str">
        <f ca="1">OFFSET(ORÇAMENTO!O$15,ROW(E54)-ROW(E$15),0)</f>
        <v>1.5.8.</v>
      </c>
      <c r="F54" s="172" t="str">
        <f ca="1">OFFSET(ORÇAMENTO!R$15,ROW(F54)-ROW(F$15),0)</f>
        <v>Pintura de faixa com tinta acrílica - espessura de 0,6 mm</v>
      </c>
      <c r="G54" s="173" t="str">
        <f ca="1">IF($D54&lt;&gt;"Serviço","",OFFSET(ORÇAMENTO!S$15,ROW(G54)-ROW(G$15),0))</f>
        <v>m²</v>
      </c>
      <c r="H54" s="124">
        <f ca="1">IF($D54&lt;&gt;"Serviço",0,IF(ACOMPANHAMENTO="BM",ROUND(OFFSET(ORÇAMENTO!AJ$15,ROW(H54)-ROW(H$15),0),15-13*ORÇAMENTO!$AF$7),SUMPRODUCT(($Q$12:$AA$12&lt;&gt;"")*ROUND($Q54:$AA54,15-13*ORÇAMENTO!$AF$7))))</f>
        <v>40.5</v>
      </c>
      <c r="I54" s="561"/>
      <c r="K54" s="174"/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6</v>
      </c>
      <c r="N54" s="177" t="str">
        <f ca="1">IF($D54&lt;&gt;"Serviço","",IF(AUTOEVENTO="Manual",IF($A54=0,"&lt;-- defina o número do agrupador",OFFSET(EVENTOS!$D$14,$A54,0)),OFFSET($F$15,$A54,0)))</f>
        <v>SINALIZAÇÃO</v>
      </c>
      <c r="O54" s="178"/>
      <c r="Q54" s="178"/>
      <c r="R54" s="179"/>
      <c r="S54" s="179"/>
      <c r="T54" s="179"/>
      <c r="U54" s="179"/>
      <c r="V54" s="179"/>
      <c r="W54" s="179"/>
      <c r="X54" s="179"/>
      <c r="Y54" s="179"/>
      <c r="Z54" s="180"/>
      <c r="AB54" s="544">
        <f ca="1">IF(AND($D54="Serviço",AB$12&lt;&gt;0,$H54&gt;0,OR(AUTOEVENTO&lt;&gt;"manual",$M54&lt;&gt;1)), IF(Import.TipoArredondamento&lt;&gt;"TransfereGOV", ROUND(OFFSET($P54,0,AB$13),15-13*ORÇAMENTO!$AF$7)/$H54*OFFSET(ORÇAMENTO!$X$15,ROW(AB54)-ROW(AB$15),0), ROUND(ROUND(OFFSET($P54,0,AB$13),15-13*ORÇAMENTO!$AF$7)*OFFSET(ORÇAMENTO!$W$15,ROW(AB54)-ROW(AB$15),0),15-13*ORÇAMENTO!$AF$11)),0)</f>
        <v>0</v>
      </c>
      <c r="AC54" s="545">
        <f ca="1">IF(AND($D54="Serviço",AC$12&lt;&gt;0,$H54&gt;0,OR(AUTOEVENTO&lt;&gt;"manual",$M54&lt;&gt;1)), IF(Import.TipoArredondamento&lt;&gt;"TransfereGOV", ROUND(OFFSET($P54,0,AC$13),15-13*ORÇAMENTO!$AF$7)/$H54*OFFSET(ORÇAMENTO!$X$15,ROW(AC54)-ROW(AC$15),0), ROUND(ROUND(OFFSET($P54,0,AC$13),15-13*ORÇAMENTO!$AF$7)*OFFSET(ORÇAMENTO!$W$15,ROW(AC54)-ROW(AC$15),0),15-13*ORÇAMENTO!$AF$11)),0)</f>
        <v>0</v>
      </c>
      <c r="AD54" s="545">
        <f ca="1">IF(AND($D54="Serviço",AD$12&lt;&gt;0,$H54&gt;0,OR(AUTOEVENTO&lt;&gt;"manual",$M54&lt;&gt;1)), IF(Import.TipoArredondamento&lt;&gt;"TransfereGOV", ROUND(OFFSET($P54,0,AD$13),15-13*ORÇAMENTO!$AF$7)/$H54*OFFSET(ORÇAMENTO!$X$15,ROW(AD54)-ROW(AD$15),0), ROUND(ROUND(OFFSET($P54,0,AD$13),15-13*ORÇAMENTO!$AF$7)*OFFSET(ORÇAMENTO!$W$15,ROW(AD54)-ROW(AD$15),0),15-13*ORÇAMENTO!$AF$11)),0)</f>
        <v>0</v>
      </c>
      <c r="AE54" s="545">
        <f ca="1">IF(AND($D54="Serviço",AE$12&lt;&gt;0,$H54&gt;0,OR(AUTOEVENTO&lt;&gt;"manual",$M54&lt;&gt;1)), IF(Import.TipoArredondamento&lt;&gt;"TransfereGOV", ROUND(OFFSET($P54,0,AE$13),15-13*ORÇAMENTO!$AF$7)/$H54*OFFSET(ORÇAMENTO!$X$15,ROW(AE54)-ROW(AE$15),0), ROUND(ROUND(OFFSET($P54,0,AE$13),15-13*ORÇAMENTO!$AF$7)*OFFSET(ORÇAMENTO!$W$15,ROW(AE54)-ROW(AE$15),0),15-13*ORÇAMENTO!$AF$11)),0)</f>
        <v>0</v>
      </c>
      <c r="AF54" s="545">
        <f ca="1">IF(AND($D54="Serviço",AF$12&lt;&gt;0,$H54&gt;0,OR(AUTOEVENTO&lt;&gt;"manual",$M54&lt;&gt;1)), IF(Import.TipoArredondamento&lt;&gt;"TransfereGOV", ROUND(OFFSET($P54,0,AF$13),15-13*ORÇAMENTO!$AF$7)/$H54*OFFSET(ORÇAMENTO!$X$15,ROW(AF54)-ROW(AF$15),0), ROUND(ROUND(OFFSET($P54,0,AF$13),15-13*ORÇAMENTO!$AF$7)*OFFSET(ORÇAMENTO!$W$15,ROW(AF54)-ROW(AF$15),0),15-13*ORÇAMENTO!$AF$11)),0)</f>
        <v>0</v>
      </c>
      <c r="AG54" s="545">
        <f ca="1">IF(AND($D54="Serviço",AG$12&lt;&gt;0,$H54&gt;0,OR(AUTOEVENTO&lt;&gt;"manual",$M54&lt;&gt;1)), IF(Import.TipoArredondamento&lt;&gt;"TransfereGOV", ROUND(OFFSET($P54,0,AG$13),15-13*ORÇAMENTO!$AF$7)/$H54*OFFSET(ORÇAMENTO!$X$15,ROW(AG54)-ROW(AG$15),0), ROUND(ROUND(OFFSET($P54,0,AG$13),15-13*ORÇAMENTO!$AF$7)*OFFSET(ORÇAMENTO!$W$15,ROW(AG54)-ROW(AG$15),0),15-13*ORÇAMENTO!$AF$11)),0)</f>
        <v>0</v>
      </c>
      <c r="AH54" s="545">
        <f ca="1">IF(AND($D54="Serviço",AH$12&lt;&gt;0,$H54&gt;0,OR(AUTOEVENTO&lt;&gt;"manual",$M54&lt;&gt;1)), IF(Import.TipoArredondamento&lt;&gt;"TransfereGOV", ROUND(OFFSET($P54,0,AH$13),15-13*ORÇAMENTO!$AF$7)/$H54*OFFSET(ORÇAMENTO!$X$15,ROW(AH54)-ROW(AH$15),0), ROUND(ROUND(OFFSET($P54,0,AH$13),15-13*ORÇAMENTO!$AF$7)*OFFSET(ORÇAMENTO!$W$15,ROW(AH54)-ROW(AH$15),0),15-13*ORÇAMENTO!$AF$11)),0)</f>
        <v>0</v>
      </c>
      <c r="AI54" s="545">
        <f ca="1">IF(AND($D54="Serviço",AI$12&lt;&gt;0,$H54&gt;0,OR(AUTOEVENTO&lt;&gt;"manual",$M54&lt;&gt;1)), IF(Import.TipoArredondamento&lt;&gt;"TransfereGOV", ROUND(OFFSET($P54,0,AI$13),15-13*ORÇAMENTO!$AF$7)/$H54*OFFSET(ORÇAMENTO!$X$15,ROW(AI54)-ROW(AI$15),0), ROUND(ROUND(OFFSET($P54,0,AI$13),15-13*ORÇAMENTO!$AF$7)*OFFSET(ORÇAMENTO!$W$15,ROW(AI54)-ROW(AI$15),0),15-13*ORÇAMENTO!$AF$11)),0)</f>
        <v>0</v>
      </c>
      <c r="AJ54" s="545">
        <f ca="1">IF(AND($D54="Serviço",AJ$12&lt;&gt;0,$H54&gt;0,OR(AUTOEVENTO&lt;&gt;"manual",$M54&lt;&gt;1)), IF(Import.TipoArredondamento&lt;&gt;"TransfereGOV", ROUND(OFFSET($P54,0,AJ$13),15-13*ORÇAMENTO!$AF$7)/$H54*OFFSET(ORÇAMENTO!$X$15,ROW(AJ54)-ROW(AJ$15),0), ROUND(ROUND(OFFSET($P54,0,AJ$13),15-13*ORÇAMENTO!$AF$7)*OFFSET(ORÇAMENTO!$W$15,ROW(AJ54)-ROW(AJ$15),0),15-13*ORÇAMENTO!$AF$11)),0)</f>
        <v>0</v>
      </c>
      <c r="AK54" s="546">
        <f ca="1">IF(AND($D54="Serviço",AK$12&lt;&gt;0,$H54&gt;0,OR(AUTOEVENTO&lt;&gt;"manual",$M54&lt;&gt;1)), IF(Import.TipoArredondamento&lt;&gt;"TransfereGOV", ROUND(OFFSET($P54,0,AK$13),15-13*ORÇAMENTO!$AF$7)/$H54*OFFSET(ORÇAMENTO!$X$15,ROW(AK54)-ROW(AK$15),0), ROUND(ROUND(OFFSET($P54,0,AK$13),15-13*ORÇAMENTO!$AF$7)*OFFSET(ORÇAMENTO!$W$15,ROW(AK54)-ROW(AK$15),0),15-13*ORÇAMENTO!$AF$11)),0)</f>
        <v>0</v>
      </c>
      <c r="AM54" s="181">
        <f ca="1">IF($D54&lt;&gt;"Serviço",0,IF(AND(AUTOEVENTO="Manual",$M54=1),0,IF(OFFSET(CRONOPLE!$F$14,$M54,AM$13)="",10^12,OFFSET(CRONOPLE!$F$14,$M54,AM$13))))</f>
        <v>1000000000000</v>
      </c>
      <c r="AN54" s="181">
        <f ca="1">IF($D54&lt;&gt;"Serviço",0,IF(AND(AUTOEVENTO="Manual",$M54=1),0,IF(OFFSET(CRONOPLE!$F$14,$M54,AN$13)="",10^12,OFFSET(CRONOPLE!$F$14,$M54,AN$13))))</f>
        <v>1000000000000</v>
      </c>
      <c r="AO54" s="181">
        <f ca="1">IF($D54&lt;&gt;"Serviço",0,IF(AND(AUTOEVENTO="Manual",$M54=1),0,IF(OFFSET(CRONOPLE!$F$14,$M54,AO$13)="",10^12,OFFSET(CRONOPLE!$F$14,$M54,AO$13))))</f>
        <v>1000000000000</v>
      </c>
      <c r="AP54" s="181">
        <f ca="1">IF($D54&lt;&gt;"Serviço",0,IF(AND(AUTOEVENTO="Manual",$M54=1),0,IF(OFFSET(CRONOPLE!$F$14,$M54,AP$13)="",10^12,OFFSET(CRONOPLE!$F$14,$M54,AP$13))))</f>
        <v>1000000000000</v>
      </c>
      <c r="AQ54" s="181">
        <f ca="1">IF($D54&lt;&gt;"Serviço",0,IF(AND(AUTOEVENTO="Manual",$M54=1),0,IF(OFFSET(CRONOPLE!$F$14,$M54,AQ$13)="",10^12,OFFSET(CRONOPLE!$F$14,$M54,AQ$13))))</f>
        <v>1000000000000</v>
      </c>
      <c r="AR54" s="181">
        <f ca="1">IF($D54&lt;&gt;"Serviço",0,IF(AND(AUTOEVENTO="Manual",$M54=1),0,IF(OFFSET(CRONOPLE!$F$14,$M54,AR$13)="",10^12,OFFSET(CRONOPLE!$F$14,$M54,AR$13))))</f>
        <v>1000000000000</v>
      </c>
      <c r="AS54" s="181">
        <f ca="1">IF($D54&lt;&gt;"Serviço",0,IF(AND(AUTOEVENTO="Manual",$M54=1),0,IF(OFFSET(CRONOPLE!$F$14,$M54,AS$13)="",10^12,OFFSET(CRONOPLE!$F$14,$M54,AS$13))))</f>
        <v>1000000000000</v>
      </c>
      <c r="AT54" s="181">
        <f ca="1">IF($D54&lt;&gt;"Serviço",0,IF(AND(AUTOEVENTO="Manual",$M54=1),0,IF(OFFSET(CRONOPLE!$F$14,$M54,AT$13)="",10^12,OFFSET(CRONOPLE!$F$14,$M54,AT$13))))</f>
        <v>1000000000000</v>
      </c>
      <c r="AU54" s="181">
        <f ca="1">IF($D54&lt;&gt;"Serviço",0,IF(AND(AUTOEVENTO="Manual",$M54=1),0,IF(OFFSET(CRONOPLE!$F$14,$M54,AU$13)="",10^12,OFFSET(CRONOPLE!$F$14,$M54,AU$13))))</f>
        <v>1000000000000</v>
      </c>
      <c r="AV54" s="181">
        <f ca="1">IF($D54&lt;&gt;"Serviço",0,IF(AND(AUTOEVENTO="Manual",$M54=1),0,IF(OFFSET(CRONOPLE!$F$14,$M54,AV$13)="",10^12,OFFSET(CRONOPLE!$F$14,$M54,AV$13))))</f>
        <v>1000000000000</v>
      </c>
      <c r="AX54" s="182">
        <f ca="1">IF($D54&lt;&gt;"Serviço",0,IF(OR(AND(AUTOEVENTO="Manual",$M54=1),$M54&gt;(ROW(PLE.lastrow)-ROW(PLE.firstrow))),0,IF(OFFSET(PLE!$G$14,$M54,AX$13)="",10^12,OFFSET(PLE!$G$14,$M54,AX$13))))</f>
        <v>1000000000000</v>
      </c>
      <c r="AY54" s="182">
        <f ca="1">IF($D54&lt;&gt;"Serviço",0,IF(OR(AND(AUTOEVENTO="Manual",$M54=1),$M54&gt;(ROW(PLE.lastrow)-ROW(PLE.firstrow))),0,IF(OFFSET(PLE!$G$14,$M54,AY$13)="",10^12,OFFSET(PLE!$G$14,$M54,AY$13))))</f>
        <v>1000000000000</v>
      </c>
      <c r="AZ54" s="182">
        <f ca="1">IF($D54&lt;&gt;"Serviço",0,IF(OR(AND(AUTOEVENTO="Manual",$M54=1),$M54&gt;(ROW(PLE.lastrow)-ROW(PLE.firstrow))),0,IF(OFFSET(PLE!$G$14,$M54,AZ$13)="",10^12,OFFSET(PLE!$G$14,$M54,AZ$13))))</f>
        <v>1000000000000</v>
      </c>
      <c r="BA54" s="182">
        <f ca="1">IF($D54&lt;&gt;"Serviço",0,IF(OR(AND(AUTOEVENTO="Manual",$M54=1),$M54&gt;(ROW(PLE.lastrow)-ROW(PLE.firstrow))),0,IF(OFFSET(PLE!$G$14,$M54,BA$13)="",10^12,OFFSET(PLE!$G$14,$M54,BA$13))))</f>
        <v>1000000000000</v>
      </c>
      <c r="BB54" s="182">
        <f ca="1">IF($D54&lt;&gt;"Serviço",0,IF(OR(AND(AUTOEVENTO="Manual",$M54=1),$M54&gt;(ROW(PLE.lastrow)-ROW(PLE.firstrow))),0,IF(OFFSET(PLE!$G$14,$M54,BB$13)="",10^12,OFFSET(PLE!$G$14,$M54,BB$13))))</f>
        <v>1000000000000</v>
      </c>
      <c r="BC54" s="182">
        <f ca="1">IF($D54&lt;&gt;"Serviço",0,IF(OR(AND(AUTOEVENTO="Manual",$M54=1),$M54&gt;(ROW(PLE.lastrow)-ROW(PLE.firstrow))),0,IF(OFFSET(PLE!$G$14,$M54,BC$13)="",10^12,OFFSET(PLE!$G$14,$M54,BC$13))))</f>
        <v>1000000000000</v>
      </c>
      <c r="BD54" s="182">
        <f ca="1">IF($D54&lt;&gt;"Serviço",0,IF(OR(AND(AUTOEVENTO="Manual",$M54=1),$M54&gt;(ROW(PLE.lastrow)-ROW(PLE.firstrow))),0,IF(OFFSET(PLE!$G$14,$M54,BD$13)="",10^12,OFFSET(PLE!$G$14,$M54,BD$13))))</f>
        <v>1000000000000</v>
      </c>
      <c r="BE54" s="182">
        <f ca="1">IF($D54&lt;&gt;"Serviço",0,IF(OR(AND(AUTOEVENTO="Manual",$M54=1),$M54&gt;(ROW(PLE.lastrow)-ROW(PLE.firstrow))),0,IF(OFFSET(PLE!$G$14,$M54,BE$13)="",10^12,OFFSET(PLE!$G$14,$M54,BE$13))))</f>
        <v>1000000000000</v>
      </c>
      <c r="BF54" s="182">
        <f ca="1">IF($D54&lt;&gt;"Serviço",0,IF(OR(AND(AUTOEVENTO="Manual",$M54=1),$M54&gt;(ROW(PLE.lastrow)-ROW(PLE.firstrow))),0,IF(OFFSET(PLE!$G$14,$M54,BF$13)="",10^12,OFFSET(PLE!$G$14,$M54,BF$13))))</f>
        <v>1000000000000</v>
      </c>
      <c r="BG54" s="18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12.75" x14ac:dyDescent="0.2">
      <c r="A55" s="7" t="str">
        <f t="shared" ca="1" si="8"/>
        <v>40.</v>
      </c>
      <c r="B55" s="7">
        <f ca="1">OFFSET(ORÇAMENTO!C$15,ROW(B55)-ROW(B$15),0)</f>
        <v>1</v>
      </c>
      <c r="C55" s="7" t="str">
        <f ca="1">OFFSET(ORÇAMENTO!L$15,ROW(C55)-ROW(C$15),0)</f>
        <v>F</v>
      </c>
      <c r="D55" s="118" t="str">
        <f ca="1">OFFSET(ORÇAMENTO!N$15,ROW(D55)-ROW(D$15),0)</f>
        <v>Meta</v>
      </c>
      <c r="E55" s="119" t="str">
        <f ca="1">OFFSET(ORÇAMENTO!O$15,ROW(E55)-ROW(E$15),0)</f>
        <v>2.</v>
      </c>
      <c r="F55" s="172" t="str">
        <f ca="1">OFFSET(ORÇAMENTO!R$15,ROW(F55)-ROW(F$15),0)</f>
        <v>TRECHO 2 - Rua Presidente Castelo Branco e Travessa Dom Pedro II</v>
      </c>
      <c r="G55" s="173" t="str">
        <f ca="1">IF($D55&lt;&gt;"Serviço","",OFFSET(ORÇAMENTO!S$15,ROW(G55)-ROW(G$15),0))</f>
        <v/>
      </c>
      <c r="H55" s="124">
        <f ca="1">IF($D55&lt;&gt;"Serviço",0,IF(ACOMPANHAMENTO="BM",ROUND(OFFSET(ORÇAMENTO!AJ$15,ROW(H55)-ROW(H$15),0),15-13*ORÇAMENTO!$AF$7),SUMPRODUCT(($Q$12:$AA$12&lt;&gt;"")*ROUND($Q55:$AA55,15-13*ORÇAMENTO!$AF$7))))</f>
        <v>0</v>
      </c>
      <c r="I55" s="561"/>
      <c r="K55" s="174"/>
      <c r="L55" s="175" t="s">
        <v>255</v>
      </c>
      <c r="M55" s="176" t="str">
        <f ca="1">IF($D55&lt;&gt;"Serviço","",IF(AUTOEVENTO="manual",$A55,IF(ISERROR(MATCH($A55,$A$15:OFFSET($A55,-1,0),0)),MAX($M$15:OFFSET(M55,-1,0))+1,INDEX($M$15:OFFSET(M55,-1,0),MATCH($A55,$A$15:OFFSET($A55,-1,0),0)))))</f>
        <v/>
      </c>
      <c r="N55" s="177" t="str">
        <f ca="1">IF($D55&lt;&gt;"Serviço","",IF(AUTOEVENTO="Manual",IF($A55=0,"&lt;-- defina o número do agrupador",OFFSET(EVENTOS!$D$14,$A55,0)),OFFSET($F$15,$A55,0)))</f>
        <v/>
      </c>
      <c r="O55" s="178"/>
      <c r="Q55" s="178"/>
      <c r="R55" s="179"/>
      <c r="S55" s="179"/>
      <c r="T55" s="179"/>
      <c r="U55" s="179"/>
      <c r="V55" s="179"/>
      <c r="W55" s="179"/>
      <c r="X55" s="179"/>
      <c r="Y55" s="179"/>
      <c r="Z55" s="180"/>
      <c r="AB55" s="544">
        <f ca="1">IF(AND($D55="Serviço",AB$12&lt;&gt;0,$H55&gt;0,OR(AUTOEVENTO&lt;&gt;"manual",$M55&lt;&gt;1)), IF(Import.TipoArredondamento&lt;&gt;"TransfereGOV", ROUND(OFFSET($P55,0,AB$13),15-13*ORÇAMENTO!$AF$7)/$H55*OFFSET(ORÇAMENTO!$X$15,ROW(AB55)-ROW(AB$15),0), ROUND(ROUND(OFFSET($P55,0,AB$13),15-13*ORÇAMENTO!$AF$7)*OFFSET(ORÇAMENTO!$W$15,ROW(AB55)-ROW(AB$15),0),15-13*ORÇAMENTO!$AF$11)),0)</f>
        <v>0</v>
      </c>
      <c r="AC55" s="545">
        <f ca="1">IF(AND($D55="Serviço",AC$12&lt;&gt;0,$H55&gt;0,OR(AUTOEVENTO&lt;&gt;"manual",$M55&lt;&gt;1)), IF(Import.TipoArredondamento&lt;&gt;"TransfereGOV", ROUND(OFFSET($P55,0,AC$13),15-13*ORÇAMENTO!$AF$7)/$H55*OFFSET(ORÇAMENTO!$X$15,ROW(AC55)-ROW(AC$15),0), ROUND(ROUND(OFFSET($P55,0,AC$13),15-13*ORÇAMENTO!$AF$7)*OFFSET(ORÇAMENTO!$W$15,ROW(AC55)-ROW(AC$15),0),15-13*ORÇAMENTO!$AF$11)),0)</f>
        <v>0</v>
      </c>
      <c r="AD55" s="545">
        <f ca="1">IF(AND($D55="Serviço",AD$12&lt;&gt;0,$H55&gt;0,OR(AUTOEVENTO&lt;&gt;"manual",$M55&lt;&gt;1)), IF(Import.TipoArredondamento&lt;&gt;"TransfereGOV", ROUND(OFFSET($P55,0,AD$13),15-13*ORÇAMENTO!$AF$7)/$H55*OFFSET(ORÇAMENTO!$X$15,ROW(AD55)-ROW(AD$15),0), ROUND(ROUND(OFFSET($P55,0,AD$13),15-13*ORÇAMENTO!$AF$7)*OFFSET(ORÇAMENTO!$W$15,ROW(AD55)-ROW(AD$15),0),15-13*ORÇAMENTO!$AF$11)),0)</f>
        <v>0</v>
      </c>
      <c r="AE55" s="545">
        <f ca="1">IF(AND($D55="Serviço",AE$12&lt;&gt;0,$H55&gt;0,OR(AUTOEVENTO&lt;&gt;"manual",$M55&lt;&gt;1)), IF(Import.TipoArredondamento&lt;&gt;"TransfereGOV", ROUND(OFFSET($P55,0,AE$13),15-13*ORÇAMENTO!$AF$7)/$H55*OFFSET(ORÇAMENTO!$X$15,ROW(AE55)-ROW(AE$15),0), ROUND(ROUND(OFFSET($P55,0,AE$13),15-13*ORÇAMENTO!$AF$7)*OFFSET(ORÇAMENTO!$W$15,ROW(AE55)-ROW(AE$15),0),15-13*ORÇAMENTO!$AF$11)),0)</f>
        <v>0</v>
      </c>
      <c r="AF55" s="545">
        <f ca="1">IF(AND($D55="Serviço",AF$12&lt;&gt;0,$H55&gt;0,OR(AUTOEVENTO&lt;&gt;"manual",$M55&lt;&gt;1)), IF(Import.TipoArredondamento&lt;&gt;"TransfereGOV", ROUND(OFFSET($P55,0,AF$13),15-13*ORÇAMENTO!$AF$7)/$H55*OFFSET(ORÇAMENTO!$X$15,ROW(AF55)-ROW(AF$15),0), ROUND(ROUND(OFFSET($P55,0,AF$13),15-13*ORÇAMENTO!$AF$7)*OFFSET(ORÇAMENTO!$W$15,ROW(AF55)-ROW(AF$15),0),15-13*ORÇAMENTO!$AF$11)),0)</f>
        <v>0</v>
      </c>
      <c r="AG55" s="545">
        <f ca="1">IF(AND($D55="Serviço",AG$12&lt;&gt;0,$H55&gt;0,OR(AUTOEVENTO&lt;&gt;"manual",$M55&lt;&gt;1)), IF(Import.TipoArredondamento&lt;&gt;"TransfereGOV", ROUND(OFFSET($P55,0,AG$13),15-13*ORÇAMENTO!$AF$7)/$H55*OFFSET(ORÇAMENTO!$X$15,ROW(AG55)-ROW(AG$15),0), ROUND(ROUND(OFFSET($P55,0,AG$13),15-13*ORÇAMENTO!$AF$7)*OFFSET(ORÇAMENTO!$W$15,ROW(AG55)-ROW(AG$15),0),15-13*ORÇAMENTO!$AF$11)),0)</f>
        <v>0</v>
      </c>
      <c r="AH55" s="545">
        <f ca="1">IF(AND($D55="Serviço",AH$12&lt;&gt;0,$H55&gt;0,OR(AUTOEVENTO&lt;&gt;"manual",$M55&lt;&gt;1)), IF(Import.TipoArredondamento&lt;&gt;"TransfereGOV", ROUND(OFFSET($P55,0,AH$13),15-13*ORÇAMENTO!$AF$7)/$H55*OFFSET(ORÇAMENTO!$X$15,ROW(AH55)-ROW(AH$15),0), ROUND(ROUND(OFFSET($P55,0,AH$13),15-13*ORÇAMENTO!$AF$7)*OFFSET(ORÇAMENTO!$W$15,ROW(AH55)-ROW(AH$15),0),15-13*ORÇAMENTO!$AF$11)),0)</f>
        <v>0</v>
      </c>
      <c r="AI55" s="545">
        <f ca="1">IF(AND($D55="Serviço",AI$12&lt;&gt;0,$H55&gt;0,OR(AUTOEVENTO&lt;&gt;"manual",$M55&lt;&gt;1)), IF(Import.TipoArredondamento&lt;&gt;"TransfereGOV", ROUND(OFFSET($P55,0,AI$13),15-13*ORÇAMENTO!$AF$7)/$H55*OFFSET(ORÇAMENTO!$X$15,ROW(AI55)-ROW(AI$15),0), ROUND(ROUND(OFFSET($P55,0,AI$13),15-13*ORÇAMENTO!$AF$7)*OFFSET(ORÇAMENTO!$W$15,ROW(AI55)-ROW(AI$15),0),15-13*ORÇAMENTO!$AF$11)),0)</f>
        <v>0</v>
      </c>
      <c r="AJ55" s="545">
        <f ca="1">IF(AND($D55="Serviço",AJ$12&lt;&gt;0,$H55&gt;0,OR(AUTOEVENTO&lt;&gt;"manual",$M55&lt;&gt;1)), IF(Import.TipoArredondamento&lt;&gt;"TransfereGOV", ROUND(OFFSET($P55,0,AJ$13),15-13*ORÇAMENTO!$AF$7)/$H55*OFFSET(ORÇAMENTO!$X$15,ROW(AJ55)-ROW(AJ$15),0), ROUND(ROUND(OFFSET($P55,0,AJ$13),15-13*ORÇAMENTO!$AF$7)*OFFSET(ORÇAMENTO!$W$15,ROW(AJ55)-ROW(AJ$15),0),15-13*ORÇAMENTO!$AF$11)),0)</f>
        <v>0</v>
      </c>
      <c r="AK55" s="546">
        <f ca="1">IF(AND($D55="Serviço",AK$12&lt;&gt;0,$H55&gt;0,OR(AUTOEVENTO&lt;&gt;"manual",$M55&lt;&gt;1)), IF(Import.TipoArredondamento&lt;&gt;"TransfereGOV", ROUND(OFFSET($P55,0,AK$13),15-13*ORÇAMENTO!$AF$7)/$H55*OFFSET(ORÇAMENTO!$X$15,ROW(AK55)-ROW(AK$15),0), ROUND(ROUND(OFFSET($P55,0,AK$13),15-13*ORÇAMENTO!$AF$7)*OFFSET(ORÇAMENTO!$W$15,ROW(AK55)-ROW(AK$15),0),15-13*ORÇAMENTO!$AF$11)),0)</f>
        <v>0</v>
      </c>
      <c r="AM55" s="181">
        <f ca="1">IF($D55&lt;&gt;"Serviço",0,IF(AND(AUTOEVENTO="Manual",$M55=1),0,IF(OFFSET(CRONOPLE!$F$14,$M55,AM$13)="",10^12,OFFSET(CRONOPLE!$F$14,$M55,AM$13))))</f>
        <v>0</v>
      </c>
      <c r="AN55" s="181">
        <f ca="1">IF($D55&lt;&gt;"Serviço",0,IF(AND(AUTOEVENTO="Manual",$M55=1),0,IF(OFFSET(CRONOPLE!$F$14,$M55,AN$13)="",10^12,OFFSET(CRONOPLE!$F$14,$M55,AN$13))))</f>
        <v>0</v>
      </c>
      <c r="AO55" s="181">
        <f ca="1">IF($D55&lt;&gt;"Serviço",0,IF(AND(AUTOEVENTO="Manual",$M55=1),0,IF(OFFSET(CRONOPLE!$F$14,$M55,AO$13)="",10^12,OFFSET(CRONOPLE!$F$14,$M55,AO$13))))</f>
        <v>0</v>
      </c>
      <c r="AP55" s="181">
        <f ca="1">IF($D55&lt;&gt;"Serviço",0,IF(AND(AUTOEVENTO="Manual",$M55=1),0,IF(OFFSET(CRONOPLE!$F$14,$M55,AP$13)="",10^12,OFFSET(CRONOPLE!$F$14,$M55,AP$13))))</f>
        <v>0</v>
      </c>
      <c r="AQ55" s="181">
        <f ca="1">IF($D55&lt;&gt;"Serviço",0,IF(AND(AUTOEVENTO="Manual",$M55=1),0,IF(OFFSET(CRONOPLE!$F$14,$M55,AQ$13)="",10^12,OFFSET(CRONOPLE!$F$14,$M55,AQ$13))))</f>
        <v>0</v>
      </c>
      <c r="AR55" s="181">
        <f ca="1">IF($D55&lt;&gt;"Serviço",0,IF(AND(AUTOEVENTO="Manual",$M55=1),0,IF(OFFSET(CRONOPLE!$F$14,$M55,AR$13)="",10^12,OFFSET(CRONOPLE!$F$14,$M55,AR$13))))</f>
        <v>0</v>
      </c>
      <c r="AS55" s="181">
        <f ca="1">IF($D55&lt;&gt;"Serviço",0,IF(AND(AUTOEVENTO="Manual",$M55=1),0,IF(OFFSET(CRONOPLE!$F$14,$M55,AS$13)="",10^12,OFFSET(CRONOPLE!$F$14,$M55,AS$13))))</f>
        <v>0</v>
      </c>
      <c r="AT55" s="181">
        <f ca="1">IF($D55&lt;&gt;"Serviço",0,IF(AND(AUTOEVENTO="Manual",$M55=1),0,IF(OFFSET(CRONOPLE!$F$14,$M55,AT$13)="",10^12,OFFSET(CRONOPLE!$F$14,$M55,AT$13))))</f>
        <v>0</v>
      </c>
      <c r="AU55" s="181">
        <f ca="1">IF($D55&lt;&gt;"Serviço",0,IF(AND(AUTOEVENTO="Manual",$M55=1),0,IF(OFFSET(CRONOPLE!$F$14,$M55,AU$13)="",10^12,OFFSET(CRONOPLE!$F$14,$M55,AU$13))))</f>
        <v>0</v>
      </c>
      <c r="AV55" s="181">
        <f ca="1">IF($D55&lt;&gt;"Serviço",0,IF(AND(AUTOEVENTO="Manual",$M55=1),0,IF(OFFSET(CRONOPLE!$F$14,$M55,AV$13)="",10^12,OFFSET(CRONOPLE!$F$14,$M55,AV$13))))</f>
        <v>0</v>
      </c>
      <c r="AX55" s="182">
        <f ca="1">IF($D55&lt;&gt;"Serviço",0,IF(OR(AND(AUTOEVENTO="Manual",$M55=1),$M55&gt;(ROW(PLE.lastrow)-ROW(PLE.firstrow))),0,IF(OFFSET(PLE!$G$14,$M55,AX$13)="",10^12,OFFSET(PLE!$G$14,$M55,AX$13))))</f>
        <v>0</v>
      </c>
      <c r="AY55" s="182">
        <f ca="1">IF($D55&lt;&gt;"Serviço",0,IF(OR(AND(AUTOEVENTO="Manual",$M55=1),$M55&gt;(ROW(PLE.lastrow)-ROW(PLE.firstrow))),0,IF(OFFSET(PLE!$G$14,$M55,AY$13)="",10^12,OFFSET(PLE!$G$14,$M55,AY$13))))</f>
        <v>0</v>
      </c>
      <c r="AZ55" s="182">
        <f ca="1">IF($D55&lt;&gt;"Serviço",0,IF(OR(AND(AUTOEVENTO="Manual",$M55=1),$M55&gt;(ROW(PLE.lastrow)-ROW(PLE.firstrow))),0,IF(OFFSET(PLE!$G$14,$M55,AZ$13)="",10^12,OFFSET(PLE!$G$14,$M55,AZ$13))))</f>
        <v>0</v>
      </c>
      <c r="BA55" s="182">
        <f ca="1">IF($D55&lt;&gt;"Serviço",0,IF(OR(AND(AUTOEVENTO="Manual",$M55=1),$M55&gt;(ROW(PLE.lastrow)-ROW(PLE.firstrow))),0,IF(OFFSET(PLE!$G$14,$M55,BA$13)="",10^12,OFFSET(PLE!$G$14,$M55,BA$13))))</f>
        <v>0</v>
      </c>
      <c r="BB55" s="182">
        <f ca="1">IF($D55&lt;&gt;"Serviço",0,IF(OR(AND(AUTOEVENTO="Manual",$M55=1),$M55&gt;(ROW(PLE.lastrow)-ROW(PLE.firstrow))),0,IF(OFFSET(PLE!$G$14,$M55,BB$13)="",10^12,OFFSET(PLE!$G$14,$M55,BB$13))))</f>
        <v>0</v>
      </c>
      <c r="BC55" s="182">
        <f ca="1">IF($D55&lt;&gt;"Serviço",0,IF(OR(AND(AUTOEVENTO="Manual",$M55=1),$M55&gt;(ROW(PLE.lastrow)-ROW(PLE.firstrow))),0,IF(OFFSET(PLE!$G$14,$M55,BC$13)="",10^12,OFFSET(PLE!$G$14,$M55,BC$13))))</f>
        <v>0</v>
      </c>
      <c r="BD55" s="182">
        <f ca="1">IF($D55&lt;&gt;"Serviço",0,IF(OR(AND(AUTOEVENTO="Manual",$M55=1),$M55&gt;(ROW(PLE.lastrow)-ROW(PLE.firstrow))),0,IF(OFFSET(PLE!$G$14,$M55,BD$13)="",10^12,OFFSET(PLE!$G$14,$M55,BD$13))))</f>
        <v>0</v>
      </c>
      <c r="BE55" s="182">
        <f ca="1">IF($D55&lt;&gt;"Serviço",0,IF(OR(AND(AUTOEVENTO="Manual",$M55=1),$M55&gt;(ROW(PLE.lastrow)-ROW(PLE.firstrow))),0,IF(OFFSET(PLE!$G$14,$M55,BE$13)="",10^12,OFFSET(PLE!$G$14,$M55,BE$13))))</f>
        <v>0</v>
      </c>
      <c r="BF55" s="182">
        <f ca="1">IF($D55&lt;&gt;"Serviço",0,IF(OR(AND(AUTOEVENTO="Manual",$M55=1),$M55&gt;(ROW(PLE.lastrow)-ROW(PLE.firstrow))),0,IF(OFFSET(PLE!$G$14,$M55,BF$13)="",10^12,OFFSET(PLE!$G$14,$M55,BF$13))))</f>
        <v>0</v>
      </c>
      <c r="BG55" s="182">
        <f ca="1">IF($D55&lt;&gt;"Serviço",0,IF(OR(AND(AUTOEVENTO="Manual",$M55=1),$M55&gt;(ROW(PLE.lastrow)-ROW(PLE.firstrow))),0,IF(OFFSET(PLE!$G$14,$M55,BG$13)="",10^12,OFFSET(PLE!$G$14,$M55,BG$13))))</f>
        <v>0</v>
      </c>
    </row>
    <row r="56" spans="1:59" ht="12.75" x14ac:dyDescent="0.2">
      <c r="A56" s="7" t="str">
        <f t="shared" ca="1" si="8"/>
        <v>41.</v>
      </c>
      <c r="B56" s="7">
        <f ca="1">OFFSET(ORÇAMENTO!C$15,ROW(B56)-ROW(B$15),0)</f>
        <v>2</v>
      </c>
      <c r="C56" s="7" t="str">
        <f ca="1">OFFSET(ORÇAMENTO!L$15,ROW(C56)-ROW(C$15),0)</f>
        <v>F</v>
      </c>
      <c r="D56" s="118" t="str">
        <f ca="1">OFFSET(ORÇAMENTO!N$15,ROW(D56)-ROW(D$15),0)</f>
        <v>Nível 2</v>
      </c>
      <c r="E56" s="119" t="str">
        <f ca="1">OFFSET(ORÇAMENTO!O$15,ROW(E56)-ROW(E$15),0)</f>
        <v>2.1.</v>
      </c>
      <c r="F56" s="172" t="str">
        <f ca="1">OFFSET(ORÇAMENTO!R$15,ROW(F56)-ROW(F$15),0)</f>
        <v xml:space="preserve">SERVIÇOS INICIAIS </v>
      </c>
      <c r="G56" s="173" t="str">
        <f ca="1">IF($D56&lt;&gt;"Serviço","",OFFSET(ORÇAMENTO!S$15,ROW(G56)-ROW(G$15),0))</f>
        <v/>
      </c>
      <c r="H56" s="124">
        <f ca="1">IF($D56&lt;&gt;"Serviço",0,IF(ACOMPANHAMENTO="BM",ROUND(OFFSET(ORÇAMENTO!AJ$15,ROW(H56)-ROW(H$15),0),15-13*ORÇAMENTO!$AF$7),SUMPRODUCT(($Q$12:$AA$12&lt;&gt;"")*ROUND($Q56:$AA56,15-13*ORÇAMENTO!$AF$7))))</f>
        <v>0</v>
      </c>
      <c r="I56" s="561"/>
      <c r="K56" s="174"/>
      <c r="L56" s="175" t="s">
        <v>255</v>
      </c>
      <c r="M56" s="176" t="str">
        <f ca="1">IF($D56&lt;&gt;"Serviço","",IF(AUTOEVENTO="manual",$A56,IF(ISERROR(MATCH($A56,$A$15:OFFSET($A56,-1,0),0)),MAX($M$15:OFFSET(M56,-1,0))+1,INDEX($M$15:OFFSET(M56,-1,0),MATCH($A56,$A$15:OFFSET($A56,-1,0),0)))))</f>
        <v/>
      </c>
      <c r="N56" s="177" t="str">
        <f ca="1">IF($D56&lt;&gt;"Serviço","",IF(AUTOEVENTO="Manual",IF($A56=0,"&lt;-- defina o número do agrupador",OFFSET(EVENTOS!$D$14,$A56,0)),OFFSET($F$15,$A56,0)))</f>
        <v/>
      </c>
      <c r="O56" s="178"/>
      <c r="Q56" s="178"/>
      <c r="R56" s="179"/>
      <c r="S56" s="179"/>
      <c r="T56" s="179"/>
      <c r="U56" s="179"/>
      <c r="V56" s="179"/>
      <c r="W56" s="179"/>
      <c r="X56" s="179"/>
      <c r="Y56" s="179"/>
      <c r="Z56" s="180"/>
      <c r="AB56" s="544">
        <f ca="1">IF(AND($D56="Serviço",AB$12&lt;&gt;0,$H56&gt;0,OR(AUTOEVENTO&lt;&gt;"manual",$M56&lt;&gt;1)), IF(Import.TipoArredondamento&lt;&gt;"TransfereGOV", ROUND(OFFSET($P56,0,AB$13),15-13*ORÇAMENTO!$AF$7)/$H56*OFFSET(ORÇAMENTO!$X$15,ROW(AB56)-ROW(AB$15),0), ROUND(ROUND(OFFSET($P56,0,AB$13),15-13*ORÇAMENTO!$AF$7)*OFFSET(ORÇAMENTO!$W$15,ROW(AB56)-ROW(AB$15),0),15-13*ORÇAMENTO!$AF$11)),0)</f>
        <v>0</v>
      </c>
      <c r="AC56" s="545">
        <f ca="1">IF(AND($D56="Serviço",AC$12&lt;&gt;0,$H56&gt;0,OR(AUTOEVENTO&lt;&gt;"manual",$M56&lt;&gt;1)), IF(Import.TipoArredondamento&lt;&gt;"TransfereGOV", ROUND(OFFSET($P56,0,AC$13),15-13*ORÇAMENTO!$AF$7)/$H56*OFFSET(ORÇAMENTO!$X$15,ROW(AC56)-ROW(AC$15),0), ROUND(ROUND(OFFSET($P56,0,AC$13),15-13*ORÇAMENTO!$AF$7)*OFFSET(ORÇAMENTO!$W$15,ROW(AC56)-ROW(AC$15),0),15-13*ORÇAMENTO!$AF$11)),0)</f>
        <v>0</v>
      </c>
      <c r="AD56" s="545">
        <f ca="1">IF(AND($D56="Serviço",AD$12&lt;&gt;0,$H56&gt;0,OR(AUTOEVENTO&lt;&gt;"manual",$M56&lt;&gt;1)), IF(Import.TipoArredondamento&lt;&gt;"TransfereGOV", ROUND(OFFSET($P56,0,AD$13),15-13*ORÇAMENTO!$AF$7)/$H56*OFFSET(ORÇAMENTO!$X$15,ROW(AD56)-ROW(AD$15),0), ROUND(ROUND(OFFSET($P56,0,AD$13),15-13*ORÇAMENTO!$AF$7)*OFFSET(ORÇAMENTO!$W$15,ROW(AD56)-ROW(AD$15),0),15-13*ORÇAMENTO!$AF$11)),0)</f>
        <v>0</v>
      </c>
      <c r="AE56" s="545">
        <f ca="1">IF(AND($D56="Serviço",AE$12&lt;&gt;0,$H56&gt;0,OR(AUTOEVENTO&lt;&gt;"manual",$M56&lt;&gt;1)), IF(Import.TipoArredondamento&lt;&gt;"TransfereGOV", ROUND(OFFSET($P56,0,AE$13),15-13*ORÇAMENTO!$AF$7)/$H56*OFFSET(ORÇAMENTO!$X$15,ROW(AE56)-ROW(AE$15),0), ROUND(ROUND(OFFSET($P56,0,AE$13),15-13*ORÇAMENTO!$AF$7)*OFFSET(ORÇAMENTO!$W$15,ROW(AE56)-ROW(AE$15),0),15-13*ORÇAMENTO!$AF$11)),0)</f>
        <v>0</v>
      </c>
      <c r="AF56" s="545">
        <f ca="1">IF(AND($D56="Serviço",AF$12&lt;&gt;0,$H56&gt;0,OR(AUTOEVENTO&lt;&gt;"manual",$M56&lt;&gt;1)), IF(Import.TipoArredondamento&lt;&gt;"TransfereGOV", ROUND(OFFSET($P56,0,AF$13),15-13*ORÇAMENTO!$AF$7)/$H56*OFFSET(ORÇAMENTO!$X$15,ROW(AF56)-ROW(AF$15),0), ROUND(ROUND(OFFSET($P56,0,AF$13),15-13*ORÇAMENTO!$AF$7)*OFFSET(ORÇAMENTO!$W$15,ROW(AF56)-ROW(AF$15),0),15-13*ORÇAMENTO!$AF$11)),0)</f>
        <v>0</v>
      </c>
      <c r="AG56" s="545">
        <f ca="1">IF(AND($D56="Serviço",AG$12&lt;&gt;0,$H56&gt;0,OR(AUTOEVENTO&lt;&gt;"manual",$M56&lt;&gt;1)), IF(Import.TipoArredondamento&lt;&gt;"TransfereGOV", ROUND(OFFSET($P56,0,AG$13),15-13*ORÇAMENTO!$AF$7)/$H56*OFFSET(ORÇAMENTO!$X$15,ROW(AG56)-ROW(AG$15),0), ROUND(ROUND(OFFSET($P56,0,AG$13),15-13*ORÇAMENTO!$AF$7)*OFFSET(ORÇAMENTO!$W$15,ROW(AG56)-ROW(AG$15),0),15-13*ORÇAMENTO!$AF$11)),0)</f>
        <v>0</v>
      </c>
      <c r="AH56" s="545">
        <f ca="1">IF(AND($D56="Serviço",AH$12&lt;&gt;0,$H56&gt;0,OR(AUTOEVENTO&lt;&gt;"manual",$M56&lt;&gt;1)), IF(Import.TipoArredondamento&lt;&gt;"TransfereGOV", ROUND(OFFSET($P56,0,AH$13),15-13*ORÇAMENTO!$AF$7)/$H56*OFFSET(ORÇAMENTO!$X$15,ROW(AH56)-ROW(AH$15),0), ROUND(ROUND(OFFSET($P56,0,AH$13),15-13*ORÇAMENTO!$AF$7)*OFFSET(ORÇAMENTO!$W$15,ROW(AH56)-ROW(AH$15),0),15-13*ORÇAMENTO!$AF$11)),0)</f>
        <v>0</v>
      </c>
      <c r="AI56" s="545">
        <f ca="1">IF(AND($D56="Serviço",AI$12&lt;&gt;0,$H56&gt;0,OR(AUTOEVENTO&lt;&gt;"manual",$M56&lt;&gt;1)), IF(Import.TipoArredondamento&lt;&gt;"TransfereGOV", ROUND(OFFSET($P56,0,AI$13),15-13*ORÇAMENTO!$AF$7)/$H56*OFFSET(ORÇAMENTO!$X$15,ROW(AI56)-ROW(AI$15),0), ROUND(ROUND(OFFSET($P56,0,AI$13),15-13*ORÇAMENTO!$AF$7)*OFFSET(ORÇAMENTO!$W$15,ROW(AI56)-ROW(AI$15),0),15-13*ORÇAMENTO!$AF$11)),0)</f>
        <v>0</v>
      </c>
      <c r="AJ56" s="545">
        <f ca="1">IF(AND($D56="Serviço",AJ$12&lt;&gt;0,$H56&gt;0,OR(AUTOEVENTO&lt;&gt;"manual",$M56&lt;&gt;1)), IF(Import.TipoArredondamento&lt;&gt;"TransfereGOV", ROUND(OFFSET($P56,0,AJ$13),15-13*ORÇAMENTO!$AF$7)/$H56*OFFSET(ORÇAMENTO!$X$15,ROW(AJ56)-ROW(AJ$15),0), ROUND(ROUND(OFFSET($P56,0,AJ$13),15-13*ORÇAMENTO!$AF$7)*OFFSET(ORÇAMENTO!$W$15,ROW(AJ56)-ROW(AJ$15),0),15-13*ORÇAMENTO!$AF$11)),0)</f>
        <v>0</v>
      </c>
      <c r="AK56" s="546">
        <f ca="1">IF(AND($D56="Serviço",AK$12&lt;&gt;0,$H56&gt;0,OR(AUTOEVENTO&lt;&gt;"manual",$M56&lt;&gt;1)), IF(Import.TipoArredondamento&lt;&gt;"TransfereGOV", ROUND(OFFSET($P56,0,AK$13),15-13*ORÇAMENTO!$AF$7)/$H56*OFFSET(ORÇAMENTO!$X$15,ROW(AK56)-ROW(AK$15),0), ROUND(ROUND(OFFSET($P56,0,AK$13),15-13*ORÇAMENTO!$AF$7)*OFFSET(ORÇAMENTO!$W$15,ROW(AK56)-ROW(AK$15),0),15-13*ORÇAMENTO!$AF$11)),0)</f>
        <v>0</v>
      </c>
      <c r="AM56" s="181">
        <f ca="1">IF($D56&lt;&gt;"Serviço",0,IF(AND(AUTOEVENTO="Manual",$M56=1),0,IF(OFFSET(CRONOPLE!$F$14,$M56,AM$13)="",10^12,OFFSET(CRONOPLE!$F$14,$M56,AM$13))))</f>
        <v>0</v>
      </c>
      <c r="AN56" s="181">
        <f ca="1">IF($D56&lt;&gt;"Serviço",0,IF(AND(AUTOEVENTO="Manual",$M56=1),0,IF(OFFSET(CRONOPLE!$F$14,$M56,AN$13)="",10^12,OFFSET(CRONOPLE!$F$14,$M56,AN$13))))</f>
        <v>0</v>
      </c>
      <c r="AO56" s="181">
        <f ca="1">IF($D56&lt;&gt;"Serviço",0,IF(AND(AUTOEVENTO="Manual",$M56=1),0,IF(OFFSET(CRONOPLE!$F$14,$M56,AO$13)="",10^12,OFFSET(CRONOPLE!$F$14,$M56,AO$13))))</f>
        <v>0</v>
      </c>
      <c r="AP56" s="181">
        <f ca="1">IF($D56&lt;&gt;"Serviço",0,IF(AND(AUTOEVENTO="Manual",$M56=1),0,IF(OFFSET(CRONOPLE!$F$14,$M56,AP$13)="",10^12,OFFSET(CRONOPLE!$F$14,$M56,AP$13))))</f>
        <v>0</v>
      </c>
      <c r="AQ56" s="181">
        <f ca="1">IF($D56&lt;&gt;"Serviço",0,IF(AND(AUTOEVENTO="Manual",$M56=1),0,IF(OFFSET(CRONOPLE!$F$14,$M56,AQ$13)="",10^12,OFFSET(CRONOPLE!$F$14,$M56,AQ$13))))</f>
        <v>0</v>
      </c>
      <c r="AR56" s="181">
        <f ca="1">IF($D56&lt;&gt;"Serviço",0,IF(AND(AUTOEVENTO="Manual",$M56=1),0,IF(OFFSET(CRONOPLE!$F$14,$M56,AR$13)="",10^12,OFFSET(CRONOPLE!$F$14,$M56,AR$13))))</f>
        <v>0</v>
      </c>
      <c r="AS56" s="181">
        <f ca="1">IF($D56&lt;&gt;"Serviço",0,IF(AND(AUTOEVENTO="Manual",$M56=1),0,IF(OFFSET(CRONOPLE!$F$14,$M56,AS$13)="",10^12,OFFSET(CRONOPLE!$F$14,$M56,AS$13))))</f>
        <v>0</v>
      </c>
      <c r="AT56" s="181">
        <f ca="1">IF($D56&lt;&gt;"Serviço",0,IF(AND(AUTOEVENTO="Manual",$M56=1),0,IF(OFFSET(CRONOPLE!$F$14,$M56,AT$13)="",10^12,OFFSET(CRONOPLE!$F$14,$M56,AT$13))))</f>
        <v>0</v>
      </c>
      <c r="AU56" s="181">
        <f ca="1">IF($D56&lt;&gt;"Serviço",0,IF(AND(AUTOEVENTO="Manual",$M56=1),0,IF(OFFSET(CRONOPLE!$F$14,$M56,AU$13)="",10^12,OFFSET(CRONOPLE!$F$14,$M56,AU$13))))</f>
        <v>0</v>
      </c>
      <c r="AV56" s="181">
        <f ca="1">IF($D56&lt;&gt;"Serviço",0,IF(AND(AUTOEVENTO="Manual",$M56=1),0,IF(OFFSET(CRONOPLE!$F$14,$M56,AV$13)="",10^12,OFFSET(CRONOPLE!$F$14,$M56,AV$13))))</f>
        <v>0</v>
      </c>
      <c r="AX56" s="182">
        <f ca="1">IF($D56&lt;&gt;"Serviço",0,IF(OR(AND(AUTOEVENTO="Manual",$M56=1),$M56&gt;(ROW(PLE.lastrow)-ROW(PLE.firstrow))),0,IF(OFFSET(PLE!$G$14,$M56,AX$13)="",10^12,OFFSET(PLE!$G$14,$M56,AX$13))))</f>
        <v>0</v>
      </c>
      <c r="AY56" s="182">
        <f ca="1">IF($D56&lt;&gt;"Serviço",0,IF(OR(AND(AUTOEVENTO="Manual",$M56=1),$M56&gt;(ROW(PLE.lastrow)-ROW(PLE.firstrow))),0,IF(OFFSET(PLE!$G$14,$M56,AY$13)="",10^12,OFFSET(PLE!$G$14,$M56,AY$13))))</f>
        <v>0</v>
      </c>
      <c r="AZ56" s="182">
        <f ca="1">IF($D56&lt;&gt;"Serviço",0,IF(OR(AND(AUTOEVENTO="Manual",$M56=1),$M56&gt;(ROW(PLE.lastrow)-ROW(PLE.firstrow))),0,IF(OFFSET(PLE!$G$14,$M56,AZ$13)="",10^12,OFFSET(PLE!$G$14,$M56,AZ$13))))</f>
        <v>0</v>
      </c>
      <c r="BA56" s="182">
        <f ca="1">IF($D56&lt;&gt;"Serviço",0,IF(OR(AND(AUTOEVENTO="Manual",$M56=1),$M56&gt;(ROW(PLE.lastrow)-ROW(PLE.firstrow))),0,IF(OFFSET(PLE!$G$14,$M56,BA$13)="",10^12,OFFSET(PLE!$G$14,$M56,BA$13))))</f>
        <v>0</v>
      </c>
      <c r="BB56" s="182">
        <f ca="1">IF($D56&lt;&gt;"Serviço",0,IF(OR(AND(AUTOEVENTO="Manual",$M56=1),$M56&gt;(ROW(PLE.lastrow)-ROW(PLE.firstrow))),0,IF(OFFSET(PLE!$G$14,$M56,BB$13)="",10^12,OFFSET(PLE!$G$14,$M56,BB$13))))</f>
        <v>0</v>
      </c>
      <c r="BC56" s="182">
        <f ca="1">IF($D56&lt;&gt;"Serviço",0,IF(OR(AND(AUTOEVENTO="Manual",$M56=1),$M56&gt;(ROW(PLE.lastrow)-ROW(PLE.firstrow))),0,IF(OFFSET(PLE!$G$14,$M56,BC$13)="",10^12,OFFSET(PLE!$G$14,$M56,BC$13))))</f>
        <v>0</v>
      </c>
      <c r="BD56" s="182">
        <f ca="1">IF($D56&lt;&gt;"Serviço",0,IF(OR(AND(AUTOEVENTO="Manual",$M56=1),$M56&gt;(ROW(PLE.lastrow)-ROW(PLE.firstrow))),0,IF(OFFSET(PLE!$G$14,$M56,BD$13)="",10^12,OFFSET(PLE!$G$14,$M56,BD$13))))</f>
        <v>0</v>
      </c>
      <c r="BE56" s="182">
        <f ca="1">IF($D56&lt;&gt;"Serviço",0,IF(OR(AND(AUTOEVENTO="Manual",$M56=1),$M56&gt;(ROW(PLE.lastrow)-ROW(PLE.firstrow))),0,IF(OFFSET(PLE!$G$14,$M56,BE$13)="",10^12,OFFSET(PLE!$G$14,$M56,BE$13))))</f>
        <v>0</v>
      </c>
      <c r="BF56" s="182">
        <f ca="1">IF($D56&lt;&gt;"Serviço",0,IF(OR(AND(AUTOEVENTO="Manual",$M56=1),$M56&gt;(ROW(PLE.lastrow)-ROW(PLE.firstrow))),0,IF(OFFSET(PLE!$G$14,$M56,BF$13)="",10^12,OFFSET(PLE!$G$14,$M56,BF$13))))</f>
        <v>0</v>
      </c>
      <c r="BG56" s="182">
        <f ca="1">IF($D56&lt;&gt;"Serviço",0,IF(OR(AND(AUTOEVENTO="Manual",$M56=1),$M56&gt;(ROW(PLE.lastrow)-ROW(PLE.firstrow))),0,IF(OFFSET(PLE!$G$14,$M56,BG$13)="",10^12,OFFSET(PLE!$G$14,$M56,BG$13))))</f>
        <v>0</v>
      </c>
    </row>
    <row r="57" spans="1:59" ht="25.5" x14ac:dyDescent="0.2">
      <c r="A57" s="7" t="str">
        <f t="shared" ca="1" si="8"/>
        <v>41</v>
      </c>
      <c r="B57" s="7" t="str">
        <f ca="1">OFFSET(ORÇAMENTO!C$15,ROW(B57)-ROW(B$15),0)</f>
        <v>S</v>
      </c>
      <c r="C57" s="7" t="str">
        <f ca="1">OFFSET(ORÇAMENTO!L$15,ROW(C57)-ROW(C$15),0)</f>
        <v>F</v>
      </c>
      <c r="D57" s="118" t="str">
        <f ca="1">OFFSET(ORÇAMENTO!N$15,ROW(D57)-ROW(D$15),0)</f>
        <v>Serviço</v>
      </c>
      <c r="E57" s="119" t="str">
        <f ca="1">OFFSET(ORÇAMENTO!O$15,ROW(E57)-ROW(E$15),0)</f>
        <v>2.1.1.</v>
      </c>
      <c r="F57" s="172" t="str">
        <f ca="1">OFFSET(ORÇAMENTO!R$15,ROW(F57)-ROW(F$15),0)</f>
        <v>Placa em aço - 3,00 x 1,50 m - película retrorrefletiva tipo I + I - fornecimento e implantação</v>
      </c>
      <c r="G57" s="173" t="str">
        <f ca="1">IF($D57&lt;&gt;"Serviço","",OFFSET(ORÇAMENTO!S$15,ROW(G57)-ROW(G$15),0))</f>
        <v>un</v>
      </c>
      <c r="H57" s="124">
        <f ca="1">IF($D57&lt;&gt;"Serviço",0,IF(ACOMPANHAMENTO="BM",ROUND(OFFSET(ORÇAMENTO!AJ$15,ROW(H57)-ROW(H$15),0),15-13*ORÇAMENTO!$AF$7),SUMPRODUCT(($Q$12:$AA$12&lt;&gt;"")*ROUND($Q57:$AA57,15-13*ORÇAMENTO!$AF$7))))</f>
        <v>1</v>
      </c>
      <c r="I57" s="561"/>
      <c r="K57" s="174"/>
      <c r="L57" s="175" t="s">
        <v>255</v>
      </c>
      <c r="M57" s="176">
        <f ca="1">IF($D57&lt;&gt;"Serviço","",IF(AUTOEVENTO="manual",$A57,IF(ISERROR(MATCH($A57,$A$15:OFFSET($A57,-1,0),0)),MAX($M$15:OFFSET(M57,-1,0))+1,INDEX($M$15:OFFSET(M57,-1,0),MATCH($A57,$A$15:OFFSET($A57,-1,0),0)))))</f>
        <v>7</v>
      </c>
      <c r="N57" s="177" t="str">
        <f ca="1">IF($D57&lt;&gt;"Serviço","",IF(AUTOEVENTO="Manual",IF($A57=0,"&lt;-- defina o número do agrupador",OFFSET(EVENTOS!$D$14,$A57,0)),OFFSET($F$15,$A57,0)))</f>
        <v xml:space="preserve">SERVIÇOS INICIAIS </v>
      </c>
      <c r="O57" s="178"/>
      <c r="Q57" s="178"/>
      <c r="R57" s="179"/>
      <c r="S57" s="179"/>
      <c r="T57" s="179"/>
      <c r="U57" s="179"/>
      <c r="V57" s="179"/>
      <c r="W57" s="179"/>
      <c r="X57" s="179"/>
      <c r="Y57" s="179"/>
      <c r="Z57" s="180"/>
      <c r="AB57" s="544">
        <f ca="1">IF(AND($D57="Serviço",AB$12&lt;&gt;0,$H57&gt;0,OR(AUTOEVENTO&lt;&gt;"manual",$M57&lt;&gt;1)), IF(Import.TipoArredondamento&lt;&gt;"TransfereGOV", ROUND(OFFSET($P57,0,AB$13),15-13*ORÇAMENTO!$AF$7)/$H57*OFFSET(ORÇAMENTO!$X$15,ROW(AB57)-ROW(AB$15),0), ROUND(ROUND(OFFSET($P57,0,AB$13),15-13*ORÇAMENTO!$AF$7)*OFFSET(ORÇAMENTO!$W$15,ROW(AB57)-ROW(AB$15),0),15-13*ORÇAMENTO!$AF$11)),0)</f>
        <v>0</v>
      </c>
      <c r="AC57" s="545">
        <f ca="1">IF(AND($D57="Serviço",AC$12&lt;&gt;0,$H57&gt;0,OR(AUTOEVENTO&lt;&gt;"manual",$M57&lt;&gt;1)), IF(Import.TipoArredondamento&lt;&gt;"TransfereGOV", ROUND(OFFSET($P57,0,AC$13),15-13*ORÇAMENTO!$AF$7)/$H57*OFFSET(ORÇAMENTO!$X$15,ROW(AC57)-ROW(AC$15),0), ROUND(ROUND(OFFSET($P57,0,AC$13),15-13*ORÇAMENTO!$AF$7)*OFFSET(ORÇAMENTO!$W$15,ROW(AC57)-ROW(AC$15),0),15-13*ORÇAMENTO!$AF$11)),0)</f>
        <v>0</v>
      </c>
      <c r="AD57" s="545">
        <f ca="1">IF(AND($D57="Serviço",AD$12&lt;&gt;0,$H57&gt;0,OR(AUTOEVENTO&lt;&gt;"manual",$M57&lt;&gt;1)), IF(Import.TipoArredondamento&lt;&gt;"TransfereGOV", ROUND(OFFSET($P57,0,AD$13),15-13*ORÇAMENTO!$AF$7)/$H57*OFFSET(ORÇAMENTO!$X$15,ROW(AD57)-ROW(AD$15),0), ROUND(ROUND(OFFSET($P57,0,AD$13),15-13*ORÇAMENTO!$AF$7)*OFFSET(ORÇAMENTO!$W$15,ROW(AD57)-ROW(AD$15),0),15-13*ORÇAMENTO!$AF$11)),0)</f>
        <v>0</v>
      </c>
      <c r="AE57" s="545">
        <f ca="1">IF(AND($D57="Serviço",AE$12&lt;&gt;0,$H57&gt;0,OR(AUTOEVENTO&lt;&gt;"manual",$M57&lt;&gt;1)), IF(Import.TipoArredondamento&lt;&gt;"TransfereGOV", ROUND(OFFSET($P57,0,AE$13),15-13*ORÇAMENTO!$AF$7)/$H57*OFFSET(ORÇAMENTO!$X$15,ROW(AE57)-ROW(AE$15),0), ROUND(ROUND(OFFSET($P57,0,AE$13),15-13*ORÇAMENTO!$AF$7)*OFFSET(ORÇAMENTO!$W$15,ROW(AE57)-ROW(AE$15),0),15-13*ORÇAMENTO!$AF$11)),0)</f>
        <v>0</v>
      </c>
      <c r="AF57" s="545">
        <f ca="1">IF(AND($D57="Serviço",AF$12&lt;&gt;0,$H57&gt;0,OR(AUTOEVENTO&lt;&gt;"manual",$M57&lt;&gt;1)), IF(Import.TipoArredondamento&lt;&gt;"TransfereGOV", ROUND(OFFSET($P57,0,AF$13),15-13*ORÇAMENTO!$AF$7)/$H57*OFFSET(ORÇAMENTO!$X$15,ROW(AF57)-ROW(AF$15),0), ROUND(ROUND(OFFSET($P57,0,AF$13),15-13*ORÇAMENTO!$AF$7)*OFFSET(ORÇAMENTO!$W$15,ROW(AF57)-ROW(AF$15),0),15-13*ORÇAMENTO!$AF$11)),0)</f>
        <v>0</v>
      </c>
      <c r="AG57" s="545">
        <f ca="1">IF(AND($D57="Serviço",AG$12&lt;&gt;0,$H57&gt;0,OR(AUTOEVENTO&lt;&gt;"manual",$M57&lt;&gt;1)), IF(Import.TipoArredondamento&lt;&gt;"TransfereGOV", ROUND(OFFSET($P57,0,AG$13),15-13*ORÇAMENTO!$AF$7)/$H57*OFFSET(ORÇAMENTO!$X$15,ROW(AG57)-ROW(AG$15),0), ROUND(ROUND(OFFSET($P57,0,AG$13),15-13*ORÇAMENTO!$AF$7)*OFFSET(ORÇAMENTO!$W$15,ROW(AG57)-ROW(AG$15),0),15-13*ORÇAMENTO!$AF$11)),0)</f>
        <v>0</v>
      </c>
      <c r="AH57" s="545">
        <f ca="1">IF(AND($D57="Serviço",AH$12&lt;&gt;0,$H57&gt;0,OR(AUTOEVENTO&lt;&gt;"manual",$M57&lt;&gt;1)), IF(Import.TipoArredondamento&lt;&gt;"TransfereGOV", ROUND(OFFSET($P57,0,AH$13),15-13*ORÇAMENTO!$AF$7)/$H57*OFFSET(ORÇAMENTO!$X$15,ROW(AH57)-ROW(AH$15),0), ROUND(ROUND(OFFSET($P57,0,AH$13),15-13*ORÇAMENTO!$AF$7)*OFFSET(ORÇAMENTO!$W$15,ROW(AH57)-ROW(AH$15),0),15-13*ORÇAMENTO!$AF$11)),0)</f>
        <v>0</v>
      </c>
      <c r="AI57" s="545">
        <f ca="1">IF(AND($D57="Serviço",AI$12&lt;&gt;0,$H57&gt;0,OR(AUTOEVENTO&lt;&gt;"manual",$M57&lt;&gt;1)), IF(Import.TipoArredondamento&lt;&gt;"TransfereGOV", ROUND(OFFSET($P57,0,AI$13),15-13*ORÇAMENTO!$AF$7)/$H57*OFFSET(ORÇAMENTO!$X$15,ROW(AI57)-ROW(AI$15),0), ROUND(ROUND(OFFSET($P57,0,AI$13),15-13*ORÇAMENTO!$AF$7)*OFFSET(ORÇAMENTO!$W$15,ROW(AI57)-ROW(AI$15),0),15-13*ORÇAMENTO!$AF$11)),0)</f>
        <v>0</v>
      </c>
      <c r="AJ57" s="545">
        <f ca="1">IF(AND($D57="Serviço",AJ$12&lt;&gt;0,$H57&gt;0,OR(AUTOEVENTO&lt;&gt;"manual",$M57&lt;&gt;1)), IF(Import.TipoArredondamento&lt;&gt;"TransfereGOV", ROUND(OFFSET($P57,0,AJ$13),15-13*ORÇAMENTO!$AF$7)/$H57*OFFSET(ORÇAMENTO!$X$15,ROW(AJ57)-ROW(AJ$15),0), ROUND(ROUND(OFFSET($P57,0,AJ$13),15-13*ORÇAMENTO!$AF$7)*OFFSET(ORÇAMENTO!$W$15,ROW(AJ57)-ROW(AJ$15),0),15-13*ORÇAMENTO!$AF$11)),0)</f>
        <v>0</v>
      </c>
      <c r="AK57" s="546">
        <f ca="1">IF(AND($D57="Serviço",AK$12&lt;&gt;0,$H57&gt;0,OR(AUTOEVENTO&lt;&gt;"manual",$M57&lt;&gt;1)), IF(Import.TipoArredondamento&lt;&gt;"TransfereGOV", ROUND(OFFSET($P57,0,AK$13),15-13*ORÇAMENTO!$AF$7)/$H57*OFFSET(ORÇAMENTO!$X$15,ROW(AK57)-ROW(AK$15),0), ROUND(ROUND(OFFSET($P57,0,AK$13),15-13*ORÇAMENTO!$AF$7)*OFFSET(ORÇAMENTO!$W$15,ROW(AK57)-ROW(AK$15),0),15-13*ORÇAMENTO!$AF$11)),0)</f>
        <v>0</v>
      </c>
      <c r="AM57" s="181">
        <f ca="1">IF($D57&lt;&gt;"Serviço",0,IF(AND(AUTOEVENTO="Manual",$M57=1),0,IF(OFFSET(CRONOPLE!$F$14,$M57,AM$13)="",10^12,OFFSET(CRONOPLE!$F$14,$M57,AM$13))))</f>
        <v>1000000000000</v>
      </c>
      <c r="AN57" s="181">
        <f ca="1">IF($D57&lt;&gt;"Serviço",0,IF(AND(AUTOEVENTO="Manual",$M57=1),0,IF(OFFSET(CRONOPLE!$F$14,$M57,AN$13)="",10^12,OFFSET(CRONOPLE!$F$14,$M57,AN$13))))</f>
        <v>1000000000000</v>
      </c>
      <c r="AO57" s="181">
        <f ca="1">IF($D57&lt;&gt;"Serviço",0,IF(AND(AUTOEVENTO="Manual",$M57=1),0,IF(OFFSET(CRONOPLE!$F$14,$M57,AO$13)="",10^12,OFFSET(CRONOPLE!$F$14,$M57,AO$13))))</f>
        <v>1000000000000</v>
      </c>
      <c r="AP57" s="181">
        <f ca="1">IF($D57&lt;&gt;"Serviço",0,IF(AND(AUTOEVENTO="Manual",$M57=1),0,IF(OFFSET(CRONOPLE!$F$14,$M57,AP$13)="",10^12,OFFSET(CRONOPLE!$F$14,$M57,AP$13))))</f>
        <v>1000000000000</v>
      </c>
      <c r="AQ57" s="181">
        <f ca="1">IF($D57&lt;&gt;"Serviço",0,IF(AND(AUTOEVENTO="Manual",$M57=1),0,IF(OFFSET(CRONOPLE!$F$14,$M57,AQ$13)="",10^12,OFFSET(CRONOPLE!$F$14,$M57,AQ$13))))</f>
        <v>1000000000000</v>
      </c>
      <c r="AR57" s="181">
        <f ca="1">IF($D57&lt;&gt;"Serviço",0,IF(AND(AUTOEVENTO="Manual",$M57=1),0,IF(OFFSET(CRONOPLE!$F$14,$M57,AR$13)="",10^12,OFFSET(CRONOPLE!$F$14,$M57,AR$13))))</f>
        <v>1000000000000</v>
      </c>
      <c r="AS57" s="181">
        <f ca="1">IF($D57&lt;&gt;"Serviço",0,IF(AND(AUTOEVENTO="Manual",$M57=1),0,IF(OFFSET(CRONOPLE!$F$14,$M57,AS$13)="",10^12,OFFSET(CRONOPLE!$F$14,$M57,AS$13))))</f>
        <v>1000000000000</v>
      </c>
      <c r="AT57" s="181">
        <f ca="1">IF($D57&lt;&gt;"Serviço",0,IF(AND(AUTOEVENTO="Manual",$M57=1),0,IF(OFFSET(CRONOPLE!$F$14,$M57,AT$13)="",10^12,OFFSET(CRONOPLE!$F$14,$M57,AT$13))))</f>
        <v>1000000000000</v>
      </c>
      <c r="AU57" s="181">
        <f ca="1">IF($D57&lt;&gt;"Serviço",0,IF(AND(AUTOEVENTO="Manual",$M57=1),0,IF(OFFSET(CRONOPLE!$F$14,$M57,AU$13)="",10^12,OFFSET(CRONOPLE!$F$14,$M57,AU$13))))</f>
        <v>1000000000000</v>
      </c>
      <c r="AV57" s="181">
        <f ca="1">IF($D57&lt;&gt;"Serviço",0,IF(AND(AUTOEVENTO="Manual",$M57=1),0,IF(OFFSET(CRONOPLE!$F$14,$M57,AV$13)="",10^12,OFFSET(CRONOPLE!$F$14,$M57,AV$13))))</f>
        <v>1000000000000</v>
      </c>
      <c r="AX57" s="182">
        <f ca="1">IF($D57&lt;&gt;"Serviço",0,IF(OR(AND(AUTOEVENTO="Manual",$M57=1),$M57&gt;(ROW(PLE.lastrow)-ROW(PLE.firstrow))),0,IF(OFFSET(PLE!$G$14,$M57,AX$13)="",10^12,OFFSET(PLE!$G$14,$M57,AX$13))))</f>
        <v>1000000000000</v>
      </c>
      <c r="AY57" s="182">
        <f ca="1">IF($D57&lt;&gt;"Serviço",0,IF(OR(AND(AUTOEVENTO="Manual",$M57=1),$M57&gt;(ROW(PLE.lastrow)-ROW(PLE.firstrow))),0,IF(OFFSET(PLE!$G$14,$M57,AY$13)="",10^12,OFFSET(PLE!$G$14,$M57,AY$13))))</f>
        <v>1000000000000</v>
      </c>
      <c r="AZ57" s="182">
        <f ca="1">IF($D57&lt;&gt;"Serviço",0,IF(OR(AND(AUTOEVENTO="Manual",$M57=1),$M57&gt;(ROW(PLE.lastrow)-ROW(PLE.firstrow))),0,IF(OFFSET(PLE!$G$14,$M57,AZ$13)="",10^12,OFFSET(PLE!$G$14,$M57,AZ$13))))</f>
        <v>1000000000000</v>
      </c>
      <c r="BA57" s="182">
        <f ca="1">IF($D57&lt;&gt;"Serviço",0,IF(OR(AND(AUTOEVENTO="Manual",$M57=1),$M57&gt;(ROW(PLE.lastrow)-ROW(PLE.firstrow))),0,IF(OFFSET(PLE!$G$14,$M57,BA$13)="",10^12,OFFSET(PLE!$G$14,$M57,BA$13))))</f>
        <v>1000000000000</v>
      </c>
      <c r="BB57" s="182">
        <f ca="1">IF($D57&lt;&gt;"Serviço",0,IF(OR(AND(AUTOEVENTO="Manual",$M57=1),$M57&gt;(ROW(PLE.lastrow)-ROW(PLE.firstrow))),0,IF(OFFSET(PLE!$G$14,$M57,BB$13)="",10^12,OFFSET(PLE!$G$14,$M57,BB$13))))</f>
        <v>1000000000000</v>
      </c>
      <c r="BC57" s="182">
        <f ca="1">IF($D57&lt;&gt;"Serviço",0,IF(OR(AND(AUTOEVENTO="Manual",$M57=1),$M57&gt;(ROW(PLE.lastrow)-ROW(PLE.firstrow))),0,IF(OFFSET(PLE!$G$14,$M57,BC$13)="",10^12,OFFSET(PLE!$G$14,$M57,BC$13))))</f>
        <v>1000000000000</v>
      </c>
      <c r="BD57" s="182">
        <f ca="1">IF($D57&lt;&gt;"Serviço",0,IF(OR(AND(AUTOEVENTO="Manual",$M57=1),$M57&gt;(ROW(PLE.lastrow)-ROW(PLE.firstrow))),0,IF(OFFSET(PLE!$G$14,$M57,BD$13)="",10^12,OFFSET(PLE!$G$14,$M57,BD$13))))</f>
        <v>1000000000000</v>
      </c>
      <c r="BE57" s="182">
        <f ca="1">IF($D57&lt;&gt;"Serviço",0,IF(OR(AND(AUTOEVENTO="Manual",$M57=1),$M57&gt;(ROW(PLE.lastrow)-ROW(PLE.firstrow))),0,IF(OFFSET(PLE!$G$14,$M57,BE$13)="",10^12,OFFSET(PLE!$G$14,$M57,BE$13))))</f>
        <v>1000000000000</v>
      </c>
      <c r="BF57" s="182">
        <f ca="1">IF($D57&lt;&gt;"Serviço",0,IF(OR(AND(AUTOEVENTO="Manual",$M57=1),$M57&gt;(ROW(PLE.lastrow)-ROW(PLE.firstrow))),0,IF(OFFSET(PLE!$G$14,$M57,BF$13)="",10^12,OFFSET(PLE!$G$14,$M57,BF$13))))</f>
        <v>1000000000000</v>
      </c>
      <c r="BG57" s="182">
        <f ca="1">IF($D57&lt;&gt;"Serviço",0,IF(OR(AND(AUTOEVENTO="Manual",$M57=1),$M57&gt;(ROW(PLE.lastrow)-ROW(PLE.firstrow))),0,IF(OFFSET(PLE!$G$14,$M57,BG$13)="",10^12,OFFSET(PLE!$G$14,$M57,BG$13))))</f>
        <v>1000000000000</v>
      </c>
    </row>
    <row r="58" spans="1:59" s="577" customFormat="1" ht="25.5" x14ac:dyDescent="0.2">
      <c r="A58" s="7" t="str">
        <f ca="1">IF(AUTOEVENTO="Manual",IF(K58&lt;&gt;"",MIN(VALUE(LEFT(K58,FIND(".",K58)-1)),COUNTA(EVENTOS.Lista)),0),IF(OR($B58&gt;AUTOEVENTO,$B58="S",$B58=0),SUBSTITUTE(OFFSET($A58,-1,0),IF($D58="Serviço",".",""),""),ROW(A58)-ROW($A$15)&amp;"."))</f>
        <v>41</v>
      </c>
      <c r="B58" s="7" t="str">
        <f ca="1">OFFSET(ORÇAMENTO!C$15,ROW(B58)-ROW(B$15),0)</f>
        <v>S</v>
      </c>
      <c r="C58" s="7" t="str">
        <f ca="1">OFFSET(ORÇAMENTO!L$15,ROW(C58)-ROW(C$15),0)</f>
        <v>F</v>
      </c>
      <c r="D58" s="118" t="str">
        <f ca="1">OFFSET(ORÇAMENTO!N$15,ROW(D58)-ROW(D$15),0)</f>
        <v>Serviço</v>
      </c>
      <c r="E58" s="119" t="str">
        <f ca="1">OFFSET(ORÇAMENTO!O$15,ROW(E58)-ROW(E$15),0)</f>
        <v>2.1.2.</v>
      </c>
      <c r="F58" s="172" t="str">
        <f ca="1">OFFSET(ORÇAMENTO!R$15,ROW(F58)-ROW(F$15),0)</f>
        <v>Suporte para placa de sinalização em madeira de lei tratada 8 x 8 cm - fornecimento e implantação</v>
      </c>
      <c r="G58" s="173" t="str">
        <f ca="1">IF($D58&lt;&gt;"Serviço","",OFFSET(ORÇAMENTO!S$15,ROW(G58)-ROW(G$15),0))</f>
        <v>un</v>
      </c>
      <c r="H58" s="124">
        <f ca="1">IF($D58&lt;&gt;"Serviço",0,IF(ACOMPANHAMENTO="BM",ROUND(OFFSET(ORÇAMENTO!AJ$15,ROW(H58)-ROW(H$15),0),15-13*ORÇAMENTO!$AF$7),SUMPRODUCT(($Q$12:$AA$12&lt;&gt;"")*ROUND($Q58:$AA58,15-13*ORÇAMENTO!$AF$7))))</f>
        <v>1</v>
      </c>
      <c r="I58" s="561"/>
      <c r="K58" s="174"/>
      <c r="L58" s="175" t="s">
        <v>255</v>
      </c>
      <c r="M58" s="176">
        <f ca="1">IF($D58&lt;&gt;"Serviço","",IF(AUTOEVENTO="manual",$A58,IF(ISERROR(MATCH($A58,$A$15:OFFSET($A58,-1,0),0)),MAX($M$15:OFFSET(M58,-1,0))+1,INDEX($M$15:OFFSET(M58,-1,0),MATCH($A58,$A$15:OFFSET($A58,-1,0),0)))))</f>
        <v>7</v>
      </c>
      <c r="N58" s="177" t="str">
        <f ca="1">IF($D58&lt;&gt;"Serviço","",IF(AUTOEVENTO="Manual",IF($A58=0,"&lt;-- defina o número do agrupador",OFFSET(EVENTOS!$D$14,$A58,0)),OFFSET($F$15,$A58,0)))</f>
        <v xml:space="preserve">SERVIÇOS INICIAIS </v>
      </c>
      <c r="O58" s="178"/>
      <c r="Q58" s="178"/>
      <c r="R58" s="179"/>
      <c r="S58" s="179"/>
      <c r="T58" s="179"/>
      <c r="U58" s="179"/>
      <c r="V58" s="179"/>
      <c r="W58" s="179"/>
      <c r="X58" s="179"/>
      <c r="Y58" s="179"/>
      <c r="Z58" s="180"/>
      <c r="AB58" s="544">
        <f ca="1">IF(AND($D58="Serviço",AB$12&lt;&gt;0,$H58&gt;0,OR(AUTOEVENTO&lt;&gt;"manual",$M58&lt;&gt;1)), IF(Import.TipoArredondamento&lt;&gt;"TransfereGOV", ROUND(OFFSET($P58,0,AB$13),15-13*ORÇAMENTO!$AF$7)/$H58*OFFSET(ORÇAMENTO!$X$15,ROW(AB58)-ROW(AB$15),0), ROUND(ROUND(OFFSET($P58,0,AB$13),15-13*ORÇAMENTO!$AF$7)*OFFSET(ORÇAMENTO!$W$15,ROW(AB58)-ROW(AB$15),0),15-13*ORÇAMENTO!$AF$11)),0)</f>
        <v>0</v>
      </c>
      <c r="AC58" s="545">
        <f ca="1">IF(AND($D58="Serviço",AC$12&lt;&gt;0,$H58&gt;0,OR(AUTOEVENTO&lt;&gt;"manual",$M58&lt;&gt;1)), IF(Import.TipoArredondamento&lt;&gt;"TransfereGOV", ROUND(OFFSET($P58,0,AC$13),15-13*ORÇAMENTO!$AF$7)/$H58*OFFSET(ORÇAMENTO!$X$15,ROW(AC58)-ROW(AC$15),0), ROUND(ROUND(OFFSET($P58,0,AC$13),15-13*ORÇAMENTO!$AF$7)*OFFSET(ORÇAMENTO!$W$15,ROW(AC58)-ROW(AC$15),0),15-13*ORÇAMENTO!$AF$11)),0)</f>
        <v>0</v>
      </c>
      <c r="AD58" s="545">
        <f ca="1">IF(AND($D58="Serviço",AD$12&lt;&gt;0,$H58&gt;0,OR(AUTOEVENTO&lt;&gt;"manual",$M58&lt;&gt;1)), IF(Import.TipoArredondamento&lt;&gt;"TransfereGOV", ROUND(OFFSET($P58,0,AD$13),15-13*ORÇAMENTO!$AF$7)/$H58*OFFSET(ORÇAMENTO!$X$15,ROW(AD58)-ROW(AD$15),0), ROUND(ROUND(OFFSET($P58,0,AD$13),15-13*ORÇAMENTO!$AF$7)*OFFSET(ORÇAMENTO!$W$15,ROW(AD58)-ROW(AD$15),0),15-13*ORÇAMENTO!$AF$11)),0)</f>
        <v>0</v>
      </c>
      <c r="AE58" s="545">
        <f ca="1">IF(AND($D58="Serviço",AE$12&lt;&gt;0,$H58&gt;0,OR(AUTOEVENTO&lt;&gt;"manual",$M58&lt;&gt;1)), IF(Import.TipoArredondamento&lt;&gt;"TransfereGOV", ROUND(OFFSET($P58,0,AE$13),15-13*ORÇAMENTO!$AF$7)/$H58*OFFSET(ORÇAMENTO!$X$15,ROW(AE58)-ROW(AE$15),0), ROUND(ROUND(OFFSET($P58,0,AE$13),15-13*ORÇAMENTO!$AF$7)*OFFSET(ORÇAMENTO!$W$15,ROW(AE58)-ROW(AE$15),0),15-13*ORÇAMENTO!$AF$11)),0)</f>
        <v>0</v>
      </c>
      <c r="AF58" s="545">
        <f ca="1">IF(AND($D58="Serviço",AF$12&lt;&gt;0,$H58&gt;0,OR(AUTOEVENTO&lt;&gt;"manual",$M58&lt;&gt;1)), IF(Import.TipoArredondamento&lt;&gt;"TransfereGOV", ROUND(OFFSET($P58,0,AF$13),15-13*ORÇAMENTO!$AF$7)/$H58*OFFSET(ORÇAMENTO!$X$15,ROW(AF58)-ROW(AF$15),0), ROUND(ROUND(OFFSET($P58,0,AF$13),15-13*ORÇAMENTO!$AF$7)*OFFSET(ORÇAMENTO!$W$15,ROW(AF58)-ROW(AF$15),0),15-13*ORÇAMENTO!$AF$11)),0)</f>
        <v>0</v>
      </c>
      <c r="AG58" s="545">
        <f ca="1">IF(AND($D58="Serviço",AG$12&lt;&gt;0,$H58&gt;0,OR(AUTOEVENTO&lt;&gt;"manual",$M58&lt;&gt;1)), IF(Import.TipoArredondamento&lt;&gt;"TransfereGOV", ROUND(OFFSET($P58,0,AG$13),15-13*ORÇAMENTO!$AF$7)/$H58*OFFSET(ORÇAMENTO!$X$15,ROW(AG58)-ROW(AG$15),0), ROUND(ROUND(OFFSET($P58,0,AG$13),15-13*ORÇAMENTO!$AF$7)*OFFSET(ORÇAMENTO!$W$15,ROW(AG58)-ROW(AG$15),0),15-13*ORÇAMENTO!$AF$11)),0)</f>
        <v>0</v>
      </c>
      <c r="AH58" s="545">
        <f ca="1">IF(AND($D58="Serviço",AH$12&lt;&gt;0,$H58&gt;0,OR(AUTOEVENTO&lt;&gt;"manual",$M58&lt;&gt;1)), IF(Import.TipoArredondamento&lt;&gt;"TransfereGOV", ROUND(OFFSET($P58,0,AH$13),15-13*ORÇAMENTO!$AF$7)/$H58*OFFSET(ORÇAMENTO!$X$15,ROW(AH58)-ROW(AH$15),0), ROUND(ROUND(OFFSET($P58,0,AH$13),15-13*ORÇAMENTO!$AF$7)*OFFSET(ORÇAMENTO!$W$15,ROW(AH58)-ROW(AH$15),0),15-13*ORÇAMENTO!$AF$11)),0)</f>
        <v>0</v>
      </c>
      <c r="AI58" s="545">
        <f ca="1">IF(AND($D58="Serviço",AI$12&lt;&gt;0,$H58&gt;0,OR(AUTOEVENTO&lt;&gt;"manual",$M58&lt;&gt;1)), IF(Import.TipoArredondamento&lt;&gt;"TransfereGOV", ROUND(OFFSET($P58,0,AI$13),15-13*ORÇAMENTO!$AF$7)/$H58*OFFSET(ORÇAMENTO!$X$15,ROW(AI58)-ROW(AI$15),0), ROUND(ROUND(OFFSET($P58,0,AI$13),15-13*ORÇAMENTO!$AF$7)*OFFSET(ORÇAMENTO!$W$15,ROW(AI58)-ROW(AI$15),0),15-13*ORÇAMENTO!$AF$11)),0)</f>
        <v>0</v>
      </c>
      <c r="AJ58" s="545">
        <f ca="1">IF(AND($D58="Serviço",AJ$12&lt;&gt;0,$H58&gt;0,OR(AUTOEVENTO&lt;&gt;"manual",$M58&lt;&gt;1)), IF(Import.TipoArredondamento&lt;&gt;"TransfereGOV", ROUND(OFFSET($P58,0,AJ$13),15-13*ORÇAMENTO!$AF$7)/$H58*OFFSET(ORÇAMENTO!$X$15,ROW(AJ58)-ROW(AJ$15),0), ROUND(ROUND(OFFSET($P58,0,AJ$13),15-13*ORÇAMENTO!$AF$7)*OFFSET(ORÇAMENTO!$W$15,ROW(AJ58)-ROW(AJ$15),0),15-13*ORÇAMENTO!$AF$11)),0)</f>
        <v>0</v>
      </c>
      <c r="AK58" s="546">
        <f ca="1">IF(AND($D58="Serviço",AK$12&lt;&gt;0,$H58&gt;0,OR(AUTOEVENTO&lt;&gt;"manual",$M58&lt;&gt;1)), IF(Import.TipoArredondamento&lt;&gt;"TransfereGOV", ROUND(OFFSET($P58,0,AK$13),15-13*ORÇAMENTO!$AF$7)/$H58*OFFSET(ORÇAMENTO!$X$15,ROW(AK58)-ROW(AK$15),0), ROUND(ROUND(OFFSET($P58,0,AK$13),15-13*ORÇAMENTO!$AF$7)*OFFSET(ORÇAMENTO!$W$15,ROW(AK58)-ROW(AK$15),0),15-13*ORÇAMENTO!$AF$11)),0)</f>
        <v>0</v>
      </c>
      <c r="AM58" s="181">
        <f ca="1">IF($D58&lt;&gt;"Serviço",0,IF(AND(AUTOEVENTO="Manual",$M58=1),0,IF(OFFSET(CRONOPLE!$F$14,$M58,AM$13)="",10^12,OFFSET(CRONOPLE!$F$14,$M58,AM$13))))</f>
        <v>1000000000000</v>
      </c>
      <c r="AN58" s="181">
        <f ca="1">IF($D58&lt;&gt;"Serviço",0,IF(AND(AUTOEVENTO="Manual",$M58=1),0,IF(OFFSET(CRONOPLE!$F$14,$M58,AN$13)="",10^12,OFFSET(CRONOPLE!$F$14,$M58,AN$13))))</f>
        <v>1000000000000</v>
      </c>
      <c r="AO58" s="181">
        <f ca="1">IF($D58&lt;&gt;"Serviço",0,IF(AND(AUTOEVENTO="Manual",$M58=1),0,IF(OFFSET(CRONOPLE!$F$14,$M58,AO$13)="",10^12,OFFSET(CRONOPLE!$F$14,$M58,AO$13))))</f>
        <v>1000000000000</v>
      </c>
      <c r="AP58" s="181">
        <f ca="1">IF($D58&lt;&gt;"Serviço",0,IF(AND(AUTOEVENTO="Manual",$M58=1),0,IF(OFFSET(CRONOPLE!$F$14,$M58,AP$13)="",10^12,OFFSET(CRONOPLE!$F$14,$M58,AP$13))))</f>
        <v>1000000000000</v>
      </c>
      <c r="AQ58" s="181">
        <f ca="1">IF($D58&lt;&gt;"Serviço",0,IF(AND(AUTOEVENTO="Manual",$M58=1),0,IF(OFFSET(CRONOPLE!$F$14,$M58,AQ$13)="",10^12,OFFSET(CRONOPLE!$F$14,$M58,AQ$13))))</f>
        <v>1000000000000</v>
      </c>
      <c r="AR58" s="181">
        <f ca="1">IF($D58&lt;&gt;"Serviço",0,IF(AND(AUTOEVENTO="Manual",$M58=1),0,IF(OFFSET(CRONOPLE!$F$14,$M58,AR$13)="",10^12,OFFSET(CRONOPLE!$F$14,$M58,AR$13))))</f>
        <v>1000000000000</v>
      </c>
      <c r="AS58" s="181">
        <f ca="1">IF($D58&lt;&gt;"Serviço",0,IF(AND(AUTOEVENTO="Manual",$M58=1),0,IF(OFFSET(CRONOPLE!$F$14,$M58,AS$13)="",10^12,OFFSET(CRONOPLE!$F$14,$M58,AS$13))))</f>
        <v>1000000000000</v>
      </c>
      <c r="AT58" s="181">
        <f ca="1">IF($D58&lt;&gt;"Serviço",0,IF(AND(AUTOEVENTO="Manual",$M58=1),0,IF(OFFSET(CRONOPLE!$F$14,$M58,AT$13)="",10^12,OFFSET(CRONOPLE!$F$14,$M58,AT$13))))</f>
        <v>1000000000000</v>
      </c>
      <c r="AU58" s="181">
        <f ca="1">IF($D58&lt;&gt;"Serviço",0,IF(AND(AUTOEVENTO="Manual",$M58=1),0,IF(OFFSET(CRONOPLE!$F$14,$M58,AU$13)="",10^12,OFFSET(CRONOPLE!$F$14,$M58,AU$13))))</f>
        <v>1000000000000</v>
      </c>
      <c r="AV58" s="181">
        <f ca="1">IF($D58&lt;&gt;"Serviço",0,IF(AND(AUTOEVENTO="Manual",$M58=1),0,IF(OFFSET(CRONOPLE!$F$14,$M58,AV$13)="",10^12,OFFSET(CRONOPLE!$F$14,$M58,AV$13))))</f>
        <v>1000000000000</v>
      </c>
      <c r="AX58" s="182">
        <f ca="1">IF($D58&lt;&gt;"Serviço",0,IF(OR(AND(AUTOEVENTO="Manual",$M58=1),$M58&gt;(ROW(PLE.lastrow)-ROW(PLE.firstrow))),0,IF(OFFSET(PLE!$G$14,$M58,AX$13)="",10^12,OFFSET(PLE!$G$14,$M58,AX$13))))</f>
        <v>1000000000000</v>
      </c>
      <c r="AY58" s="182">
        <f ca="1">IF($D58&lt;&gt;"Serviço",0,IF(OR(AND(AUTOEVENTO="Manual",$M58=1),$M58&gt;(ROW(PLE.lastrow)-ROW(PLE.firstrow))),0,IF(OFFSET(PLE!$G$14,$M58,AY$13)="",10^12,OFFSET(PLE!$G$14,$M58,AY$13))))</f>
        <v>1000000000000</v>
      </c>
      <c r="AZ58" s="182">
        <f ca="1">IF($D58&lt;&gt;"Serviço",0,IF(OR(AND(AUTOEVENTO="Manual",$M58=1),$M58&gt;(ROW(PLE.lastrow)-ROW(PLE.firstrow))),0,IF(OFFSET(PLE!$G$14,$M58,AZ$13)="",10^12,OFFSET(PLE!$G$14,$M58,AZ$13))))</f>
        <v>1000000000000</v>
      </c>
      <c r="BA58" s="182">
        <f ca="1">IF($D58&lt;&gt;"Serviço",0,IF(OR(AND(AUTOEVENTO="Manual",$M58=1),$M58&gt;(ROW(PLE.lastrow)-ROW(PLE.firstrow))),0,IF(OFFSET(PLE!$G$14,$M58,BA$13)="",10^12,OFFSET(PLE!$G$14,$M58,BA$13))))</f>
        <v>1000000000000</v>
      </c>
      <c r="BB58" s="182">
        <f ca="1">IF($D58&lt;&gt;"Serviço",0,IF(OR(AND(AUTOEVENTO="Manual",$M58=1),$M58&gt;(ROW(PLE.lastrow)-ROW(PLE.firstrow))),0,IF(OFFSET(PLE!$G$14,$M58,BB$13)="",10^12,OFFSET(PLE!$G$14,$M58,BB$13))))</f>
        <v>1000000000000</v>
      </c>
      <c r="BC58" s="182">
        <f ca="1">IF($D58&lt;&gt;"Serviço",0,IF(OR(AND(AUTOEVENTO="Manual",$M58=1),$M58&gt;(ROW(PLE.lastrow)-ROW(PLE.firstrow))),0,IF(OFFSET(PLE!$G$14,$M58,BC$13)="",10^12,OFFSET(PLE!$G$14,$M58,BC$13))))</f>
        <v>1000000000000</v>
      </c>
      <c r="BD58" s="182">
        <f ca="1">IF($D58&lt;&gt;"Serviço",0,IF(OR(AND(AUTOEVENTO="Manual",$M58=1),$M58&gt;(ROW(PLE.lastrow)-ROW(PLE.firstrow))),0,IF(OFFSET(PLE!$G$14,$M58,BD$13)="",10^12,OFFSET(PLE!$G$14,$M58,BD$13))))</f>
        <v>1000000000000</v>
      </c>
      <c r="BE58" s="182">
        <f ca="1">IF($D58&lt;&gt;"Serviço",0,IF(OR(AND(AUTOEVENTO="Manual",$M58=1),$M58&gt;(ROW(PLE.lastrow)-ROW(PLE.firstrow))),0,IF(OFFSET(PLE!$G$14,$M58,BE$13)="",10^12,OFFSET(PLE!$G$14,$M58,BE$13))))</f>
        <v>1000000000000</v>
      </c>
      <c r="BF58" s="182">
        <f ca="1">IF($D58&lt;&gt;"Serviço",0,IF(OR(AND(AUTOEVENTO="Manual",$M58=1),$M58&gt;(ROW(PLE.lastrow)-ROW(PLE.firstrow))),0,IF(OFFSET(PLE!$G$14,$M58,BF$13)="",10^12,OFFSET(PLE!$G$14,$M58,BF$13))))</f>
        <v>1000000000000</v>
      </c>
      <c r="BG58" s="182">
        <f ca="1">IF($D58&lt;&gt;"Serviço",0,IF(OR(AND(AUTOEVENTO="Manual",$M58=1),$M58&gt;(ROW(PLE.lastrow)-ROW(PLE.firstrow))),0,IF(OFFSET(PLE!$G$14,$M58,BG$13)="",10^12,OFFSET(PLE!$G$14,$M58,BG$13))))</f>
        <v>1000000000000</v>
      </c>
    </row>
    <row r="59" spans="1:59" s="577" customFormat="1" ht="12.75" x14ac:dyDescent="0.2">
      <c r="A59" s="7" t="str">
        <f ca="1">IF(AUTOEVENTO="Manual",IF(K59&lt;&gt;"",MIN(VALUE(LEFT(K59,FIND(".",K59)-1)),COUNTA(EVENTOS.Lista)),0),IF(OR($B59&gt;AUTOEVENTO,$B59="S",$B59=0),SUBSTITUTE(OFFSET($A59,-1,0),IF($D59="Serviço",".",""),""),ROW(A59)-ROW($A$15)&amp;"."))</f>
        <v>41</v>
      </c>
      <c r="B59" s="7" t="str">
        <f ca="1">OFFSET(ORÇAMENTO!C$15,ROW(B59)-ROW(B$15),0)</f>
        <v>S</v>
      </c>
      <c r="C59" s="7" t="str">
        <f ca="1">OFFSET(ORÇAMENTO!L$15,ROW(C59)-ROW(C$15),0)</f>
        <v>F</v>
      </c>
      <c r="D59" s="118" t="str">
        <f ca="1">OFFSET(ORÇAMENTO!N$15,ROW(D59)-ROW(D$15),0)</f>
        <v>Serviço</v>
      </c>
      <c r="E59" s="119" t="str">
        <f ca="1">OFFSET(ORÇAMENTO!O$15,ROW(E59)-ROW(E$15),0)</f>
        <v>2.1.3.</v>
      </c>
      <c r="F59" s="172" t="str">
        <f ca="1">OFFSET(ORÇAMENTO!R$15,ROW(F59)-ROW(F$15),0)</f>
        <v xml:space="preserve">MOBILIZAÇÃO E DESMOBILIZAÇÃO </v>
      </c>
      <c r="G59" s="173" t="str">
        <f ca="1">IF($D59&lt;&gt;"Serviço","",OFFSET(ORÇAMENTO!S$15,ROW(G59)-ROW(G$15),0))</f>
        <v>UNID.</v>
      </c>
      <c r="H59" s="124">
        <f ca="1">IF($D59&lt;&gt;"Serviço",0,IF(ACOMPANHAMENTO="BM",ROUND(OFFSET(ORÇAMENTO!AJ$15,ROW(H59)-ROW(H$15),0),15-13*ORÇAMENTO!$AF$7),SUMPRODUCT(($Q$12:$AA$12&lt;&gt;"")*ROUND($Q59:$AA59,15-13*ORÇAMENTO!$AF$7))))</f>
        <v>1</v>
      </c>
      <c r="I59" s="561"/>
      <c r="K59" s="174"/>
      <c r="L59" s="175" t="s">
        <v>255</v>
      </c>
      <c r="M59" s="176">
        <f ca="1">IF($D59&lt;&gt;"Serviço","",IF(AUTOEVENTO="manual",$A59,IF(ISERROR(MATCH($A59,$A$15:OFFSET($A59,-1,0),0)),MAX($M$15:OFFSET(M59,-1,0))+1,INDEX($M$15:OFFSET(M59,-1,0),MATCH($A59,$A$15:OFFSET($A59,-1,0),0)))))</f>
        <v>7</v>
      </c>
      <c r="N59" s="177" t="str">
        <f ca="1">IF($D59&lt;&gt;"Serviço","",IF(AUTOEVENTO="Manual",IF($A59=0,"&lt;-- defina o número do agrupador",OFFSET(EVENTOS!$D$14,$A59,0)),OFFSET($F$15,$A59,0)))</f>
        <v xml:space="preserve">SERVIÇOS INICIAIS </v>
      </c>
      <c r="O59" s="178"/>
      <c r="Q59" s="178"/>
      <c r="R59" s="179"/>
      <c r="S59" s="179"/>
      <c r="T59" s="179"/>
      <c r="U59" s="179"/>
      <c r="V59" s="179"/>
      <c r="W59" s="179"/>
      <c r="X59" s="179"/>
      <c r="Y59" s="179"/>
      <c r="Z59" s="180"/>
      <c r="AB59" s="544">
        <f ca="1">IF(AND($D59="Serviço",AB$12&lt;&gt;0,$H59&gt;0,OR(AUTOEVENTO&lt;&gt;"manual",$M59&lt;&gt;1)), IF(Import.TipoArredondamento&lt;&gt;"TransfereGOV", ROUND(OFFSET($P59,0,AB$13),15-13*ORÇAMENTO!$AF$7)/$H59*OFFSET(ORÇAMENTO!$X$15,ROW(AB59)-ROW(AB$15),0), ROUND(ROUND(OFFSET($P59,0,AB$13),15-13*ORÇAMENTO!$AF$7)*OFFSET(ORÇAMENTO!$W$15,ROW(AB59)-ROW(AB$15),0),15-13*ORÇAMENTO!$AF$11)),0)</f>
        <v>0</v>
      </c>
      <c r="AC59" s="545">
        <f ca="1">IF(AND($D59="Serviço",AC$12&lt;&gt;0,$H59&gt;0,OR(AUTOEVENTO&lt;&gt;"manual",$M59&lt;&gt;1)), IF(Import.TipoArredondamento&lt;&gt;"TransfereGOV", ROUND(OFFSET($P59,0,AC$13),15-13*ORÇAMENTO!$AF$7)/$H59*OFFSET(ORÇAMENTO!$X$15,ROW(AC59)-ROW(AC$15),0), ROUND(ROUND(OFFSET($P59,0,AC$13),15-13*ORÇAMENTO!$AF$7)*OFFSET(ORÇAMENTO!$W$15,ROW(AC59)-ROW(AC$15),0),15-13*ORÇAMENTO!$AF$11)),0)</f>
        <v>0</v>
      </c>
      <c r="AD59" s="545">
        <f ca="1">IF(AND($D59="Serviço",AD$12&lt;&gt;0,$H59&gt;0,OR(AUTOEVENTO&lt;&gt;"manual",$M59&lt;&gt;1)), IF(Import.TipoArredondamento&lt;&gt;"TransfereGOV", ROUND(OFFSET($P59,0,AD$13),15-13*ORÇAMENTO!$AF$7)/$H59*OFFSET(ORÇAMENTO!$X$15,ROW(AD59)-ROW(AD$15),0), ROUND(ROUND(OFFSET($P59,0,AD$13),15-13*ORÇAMENTO!$AF$7)*OFFSET(ORÇAMENTO!$W$15,ROW(AD59)-ROW(AD$15),0),15-13*ORÇAMENTO!$AF$11)),0)</f>
        <v>0</v>
      </c>
      <c r="AE59" s="545">
        <f ca="1">IF(AND($D59="Serviço",AE$12&lt;&gt;0,$H59&gt;0,OR(AUTOEVENTO&lt;&gt;"manual",$M59&lt;&gt;1)), IF(Import.TipoArredondamento&lt;&gt;"TransfereGOV", ROUND(OFFSET($P59,0,AE$13),15-13*ORÇAMENTO!$AF$7)/$H59*OFFSET(ORÇAMENTO!$X$15,ROW(AE59)-ROW(AE$15),0), ROUND(ROUND(OFFSET($P59,0,AE$13),15-13*ORÇAMENTO!$AF$7)*OFFSET(ORÇAMENTO!$W$15,ROW(AE59)-ROW(AE$15),0),15-13*ORÇAMENTO!$AF$11)),0)</f>
        <v>0</v>
      </c>
      <c r="AF59" s="545">
        <f ca="1">IF(AND($D59="Serviço",AF$12&lt;&gt;0,$H59&gt;0,OR(AUTOEVENTO&lt;&gt;"manual",$M59&lt;&gt;1)), IF(Import.TipoArredondamento&lt;&gt;"TransfereGOV", ROUND(OFFSET($P59,0,AF$13),15-13*ORÇAMENTO!$AF$7)/$H59*OFFSET(ORÇAMENTO!$X$15,ROW(AF59)-ROW(AF$15),0), ROUND(ROUND(OFFSET($P59,0,AF$13),15-13*ORÇAMENTO!$AF$7)*OFFSET(ORÇAMENTO!$W$15,ROW(AF59)-ROW(AF$15),0),15-13*ORÇAMENTO!$AF$11)),0)</f>
        <v>0</v>
      </c>
      <c r="AG59" s="545">
        <f ca="1">IF(AND($D59="Serviço",AG$12&lt;&gt;0,$H59&gt;0,OR(AUTOEVENTO&lt;&gt;"manual",$M59&lt;&gt;1)), IF(Import.TipoArredondamento&lt;&gt;"TransfereGOV", ROUND(OFFSET($P59,0,AG$13),15-13*ORÇAMENTO!$AF$7)/$H59*OFFSET(ORÇAMENTO!$X$15,ROW(AG59)-ROW(AG$15),0), ROUND(ROUND(OFFSET($P59,0,AG$13),15-13*ORÇAMENTO!$AF$7)*OFFSET(ORÇAMENTO!$W$15,ROW(AG59)-ROW(AG$15),0),15-13*ORÇAMENTO!$AF$11)),0)</f>
        <v>0</v>
      </c>
      <c r="AH59" s="545">
        <f ca="1">IF(AND($D59="Serviço",AH$12&lt;&gt;0,$H59&gt;0,OR(AUTOEVENTO&lt;&gt;"manual",$M59&lt;&gt;1)), IF(Import.TipoArredondamento&lt;&gt;"TransfereGOV", ROUND(OFFSET($P59,0,AH$13),15-13*ORÇAMENTO!$AF$7)/$H59*OFFSET(ORÇAMENTO!$X$15,ROW(AH59)-ROW(AH$15),0), ROUND(ROUND(OFFSET($P59,0,AH$13),15-13*ORÇAMENTO!$AF$7)*OFFSET(ORÇAMENTO!$W$15,ROW(AH59)-ROW(AH$15),0),15-13*ORÇAMENTO!$AF$11)),0)</f>
        <v>0</v>
      </c>
      <c r="AI59" s="545">
        <f ca="1">IF(AND($D59="Serviço",AI$12&lt;&gt;0,$H59&gt;0,OR(AUTOEVENTO&lt;&gt;"manual",$M59&lt;&gt;1)), IF(Import.TipoArredondamento&lt;&gt;"TransfereGOV", ROUND(OFFSET($P59,0,AI$13),15-13*ORÇAMENTO!$AF$7)/$H59*OFFSET(ORÇAMENTO!$X$15,ROW(AI59)-ROW(AI$15),0), ROUND(ROUND(OFFSET($P59,0,AI$13),15-13*ORÇAMENTO!$AF$7)*OFFSET(ORÇAMENTO!$W$15,ROW(AI59)-ROW(AI$15),0),15-13*ORÇAMENTO!$AF$11)),0)</f>
        <v>0</v>
      </c>
      <c r="AJ59" s="545">
        <f ca="1">IF(AND($D59="Serviço",AJ$12&lt;&gt;0,$H59&gt;0,OR(AUTOEVENTO&lt;&gt;"manual",$M59&lt;&gt;1)), IF(Import.TipoArredondamento&lt;&gt;"TransfereGOV", ROUND(OFFSET($P59,0,AJ$13),15-13*ORÇAMENTO!$AF$7)/$H59*OFFSET(ORÇAMENTO!$X$15,ROW(AJ59)-ROW(AJ$15),0), ROUND(ROUND(OFFSET($P59,0,AJ$13),15-13*ORÇAMENTO!$AF$7)*OFFSET(ORÇAMENTO!$W$15,ROW(AJ59)-ROW(AJ$15),0),15-13*ORÇAMENTO!$AF$11)),0)</f>
        <v>0</v>
      </c>
      <c r="AK59" s="546">
        <f ca="1">IF(AND($D59="Serviço",AK$12&lt;&gt;0,$H59&gt;0,OR(AUTOEVENTO&lt;&gt;"manual",$M59&lt;&gt;1)), IF(Import.TipoArredondamento&lt;&gt;"TransfereGOV", ROUND(OFFSET($P59,0,AK$13),15-13*ORÇAMENTO!$AF$7)/$H59*OFFSET(ORÇAMENTO!$X$15,ROW(AK59)-ROW(AK$15),0), ROUND(ROUND(OFFSET($P59,0,AK$13),15-13*ORÇAMENTO!$AF$7)*OFFSET(ORÇAMENTO!$W$15,ROW(AK59)-ROW(AK$15),0),15-13*ORÇAMENTO!$AF$11)),0)</f>
        <v>0</v>
      </c>
      <c r="AM59" s="181">
        <f ca="1">IF($D59&lt;&gt;"Serviço",0,IF(AND(AUTOEVENTO="Manual",$M59=1),0,IF(OFFSET(CRONOPLE!$F$14,$M59,AM$13)="",10^12,OFFSET(CRONOPLE!$F$14,$M59,AM$13))))</f>
        <v>1000000000000</v>
      </c>
      <c r="AN59" s="181">
        <f ca="1">IF($D59&lt;&gt;"Serviço",0,IF(AND(AUTOEVENTO="Manual",$M59=1),0,IF(OFFSET(CRONOPLE!$F$14,$M59,AN$13)="",10^12,OFFSET(CRONOPLE!$F$14,$M59,AN$13))))</f>
        <v>1000000000000</v>
      </c>
      <c r="AO59" s="181">
        <f ca="1">IF($D59&lt;&gt;"Serviço",0,IF(AND(AUTOEVENTO="Manual",$M59=1),0,IF(OFFSET(CRONOPLE!$F$14,$M59,AO$13)="",10^12,OFFSET(CRONOPLE!$F$14,$M59,AO$13))))</f>
        <v>1000000000000</v>
      </c>
      <c r="AP59" s="181">
        <f ca="1">IF($D59&lt;&gt;"Serviço",0,IF(AND(AUTOEVENTO="Manual",$M59=1),0,IF(OFFSET(CRONOPLE!$F$14,$M59,AP$13)="",10^12,OFFSET(CRONOPLE!$F$14,$M59,AP$13))))</f>
        <v>1000000000000</v>
      </c>
      <c r="AQ59" s="181">
        <f ca="1">IF($D59&lt;&gt;"Serviço",0,IF(AND(AUTOEVENTO="Manual",$M59=1),0,IF(OFFSET(CRONOPLE!$F$14,$M59,AQ$13)="",10^12,OFFSET(CRONOPLE!$F$14,$M59,AQ$13))))</f>
        <v>1000000000000</v>
      </c>
      <c r="AR59" s="181">
        <f ca="1">IF($D59&lt;&gt;"Serviço",0,IF(AND(AUTOEVENTO="Manual",$M59=1),0,IF(OFFSET(CRONOPLE!$F$14,$M59,AR$13)="",10^12,OFFSET(CRONOPLE!$F$14,$M59,AR$13))))</f>
        <v>1000000000000</v>
      </c>
      <c r="AS59" s="181">
        <f ca="1">IF($D59&lt;&gt;"Serviço",0,IF(AND(AUTOEVENTO="Manual",$M59=1),0,IF(OFFSET(CRONOPLE!$F$14,$M59,AS$13)="",10^12,OFFSET(CRONOPLE!$F$14,$M59,AS$13))))</f>
        <v>1000000000000</v>
      </c>
      <c r="AT59" s="181">
        <f ca="1">IF($D59&lt;&gt;"Serviço",0,IF(AND(AUTOEVENTO="Manual",$M59=1),0,IF(OFFSET(CRONOPLE!$F$14,$M59,AT$13)="",10^12,OFFSET(CRONOPLE!$F$14,$M59,AT$13))))</f>
        <v>1000000000000</v>
      </c>
      <c r="AU59" s="181">
        <f ca="1">IF($D59&lt;&gt;"Serviço",0,IF(AND(AUTOEVENTO="Manual",$M59=1),0,IF(OFFSET(CRONOPLE!$F$14,$M59,AU$13)="",10^12,OFFSET(CRONOPLE!$F$14,$M59,AU$13))))</f>
        <v>1000000000000</v>
      </c>
      <c r="AV59" s="181">
        <f ca="1">IF($D59&lt;&gt;"Serviço",0,IF(AND(AUTOEVENTO="Manual",$M59=1),0,IF(OFFSET(CRONOPLE!$F$14,$M59,AV$13)="",10^12,OFFSET(CRONOPLE!$F$14,$M59,AV$13))))</f>
        <v>1000000000000</v>
      </c>
      <c r="AX59" s="182">
        <f ca="1">IF($D59&lt;&gt;"Serviço",0,IF(OR(AND(AUTOEVENTO="Manual",$M59=1),$M59&gt;(ROW(PLE.lastrow)-ROW(PLE.firstrow))),0,IF(OFFSET(PLE!$G$14,$M59,AX$13)="",10^12,OFFSET(PLE!$G$14,$M59,AX$13))))</f>
        <v>1000000000000</v>
      </c>
      <c r="AY59" s="182">
        <f ca="1">IF($D59&lt;&gt;"Serviço",0,IF(OR(AND(AUTOEVENTO="Manual",$M59=1),$M59&gt;(ROW(PLE.lastrow)-ROW(PLE.firstrow))),0,IF(OFFSET(PLE!$G$14,$M59,AY$13)="",10^12,OFFSET(PLE!$G$14,$M59,AY$13))))</f>
        <v>1000000000000</v>
      </c>
      <c r="AZ59" s="182">
        <f ca="1">IF($D59&lt;&gt;"Serviço",0,IF(OR(AND(AUTOEVENTO="Manual",$M59=1),$M59&gt;(ROW(PLE.lastrow)-ROW(PLE.firstrow))),0,IF(OFFSET(PLE!$G$14,$M59,AZ$13)="",10^12,OFFSET(PLE!$G$14,$M59,AZ$13))))</f>
        <v>1000000000000</v>
      </c>
      <c r="BA59" s="182">
        <f ca="1">IF($D59&lt;&gt;"Serviço",0,IF(OR(AND(AUTOEVENTO="Manual",$M59=1),$M59&gt;(ROW(PLE.lastrow)-ROW(PLE.firstrow))),0,IF(OFFSET(PLE!$G$14,$M59,BA$13)="",10^12,OFFSET(PLE!$G$14,$M59,BA$13))))</f>
        <v>1000000000000</v>
      </c>
      <c r="BB59" s="182">
        <f ca="1">IF($D59&lt;&gt;"Serviço",0,IF(OR(AND(AUTOEVENTO="Manual",$M59=1),$M59&gt;(ROW(PLE.lastrow)-ROW(PLE.firstrow))),0,IF(OFFSET(PLE!$G$14,$M59,BB$13)="",10^12,OFFSET(PLE!$G$14,$M59,BB$13))))</f>
        <v>1000000000000</v>
      </c>
      <c r="BC59" s="182">
        <f ca="1">IF($D59&lt;&gt;"Serviço",0,IF(OR(AND(AUTOEVENTO="Manual",$M59=1),$M59&gt;(ROW(PLE.lastrow)-ROW(PLE.firstrow))),0,IF(OFFSET(PLE!$G$14,$M59,BC$13)="",10^12,OFFSET(PLE!$G$14,$M59,BC$13))))</f>
        <v>1000000000000</v>
      </c>
      <c r="BD59" s="182">
        <f ca="1">IF($D59&lt;&gt;"Serviço",0,IF(OR(AND(AUTOEVENTO="Manual",$M59=1),$M59&gt;(ROW(PLE.lastrow)-ROW(PLE.firstrow))),0,IF(OFFSET(PLE!$G$14,$M59,BD$13)="",10^12,OFFSET(PLE!$G$14,$M59,BD$13))))</f>
        <v>1000000000000</v>
      </c>
      <c r="BE59" s="182">
        <f ca="1">IF($D59&lt;&gt;"Serviço",0,IF(OR(AND(AUTOEVENTO="Manual",$M59=1),$M59&gt;(ROW(PLE.lastrow)-ROW(PLE.firstrow))),0,IF(OFFSET(PLE!$G$14,$M59,BE$13)="",10^12,OFFSET(PLE!$G$14,$M59,BE$13))))</f>
        <v>1000000000000</v>
      </c>
      <c r="BF59" s="182">
        <f ca="1">IF($D59&lt;&gt;"Serviço",0,IF(OR(AND(AUTOEVENTO="Manual",$M59=1),$M59&gt;(ROW(PLE.lastrow)-ROW(PLE.firstrow))),0,IF(OFFSET(PLE!$G$14,$M59,BF$13)="",10^12,OFFSET(PLE!$G$14,$M59,BF$13))))</f>
        <v>1000000000000</v>
      </c>
      <c r="BG59" s="182">
        <f ca="1">IF($D59&lt;&gt;"Serviço",0,IF(OR(AND(AUTOEVENTO="Manual",$M59=1),$M59&gt;(ROW(PLE.lastrow)-ROW(PLE.firstrow))),0,IF(OFFSET(PLE!$G$14,$M59,BG$13)="",10^12,OFFSET(PLE!$G$14,$M59,BG$13))))</f>
        <v>1000000000000</v>
      </c>
    </row>
    <row r="60" spans="1:59" ht="12.75" x14ac:dyDescent="0.2">
      <c r="A60" s="7" t="str">
        <f t="shared" ca="1" si="8"/>
        <v>45.</v>
      </c>
      <c r="B60" s="7">
        <f ca="1">OFFSET(ORÇAMENTO!C$15,ROW(B60)-ROW(B$15),0)</f>
        <v>2</v>
      </c>
      <c r="C60" s="7" t="str">
        <f ca="1">OFFSET(ORÇAMENTO!L$15,ROW(C60)-ROW(C$15),0)</f>
        <v>F</v>
      </c>
      <c r="D60" s="118" t="str">
        <f ca="1">OFFSET(ORÇAMENTO!N$15,ROW(D60)-ROW(D$15),0)</f>
        <v>Nível 2</v>
      </c>
      <c r="E60" s="119" t="str">
        <f ca="1">OFFSET(ORÇAMENTO!O$15,ROW(E60)-ROW(E$15),0)</f>
        <v>2.2.</v>
      </c>
      <c r="F60" s="172" t="str">
        <f ca="1">OFFSET(ORÇAMENTO!R$15,ROW(F60)-ROW(F$15),0)</f>
        <v>ADMINISTRAÇÃO LOCAL</v>
      </c>
      <c r="G60" s="173" t="str">
        <f ca="1">IF($D60&lt;&gt;"Serviço","",OFFSET(ORÇAMENTO!S$15,ROW(G60)-ROW(G$15),0))</f>
        <v/>
      </c>
      <c r="H60" s="124">
        <f ca="1">IF($D60&lt;&gt;"Serviço",0,IF(ACOMPANHAMENTO="BM",ROUND(OFFSET(ORÇAMENTO!AJ$15,ROW(H60)-ROW(H$15),0),15-13*ORÇAMENTO!$AF$7),SUMPRODUCT(($Q$12:$AA$12&lt;&gt;"")*ROUND($Q60:$AA60,15-13*ORÇAMENTO!$AF$7))))</f>
        <v>0</v>
      </c>
      <c r="I60" s="561"/>
      <c r="K60" s="174"/>
      <c r="L60" s="175" t="s">
        <v>255</v>
      </c>
      <c r="M60" s="176" t="str">
        <f ca="1">IF($D60&lt;&gt;"Serviço","",IF(AUTOEVENTO="manual",$A60,IF(ISERROR(MATCH($A60,$A$15:OFFSET($A60,-1,0),0)),MAX($M$15:OFFSET(M60,-1,0))+1,INDEX($M$15:OFFSET(M60,-1,0),MATCH($A60,$A$15:OFFSET($A60,-1,0),0)))))</f>
        <v/>
      </c>
      <c r="N60" s="177" t="str">
        <f ca="1">IF($D60&lt;&gt;"Serviço","",IF(AUTOEVENTO="Manual",IF($A60=0,"&lt;-- defina o número do agrupador",OFFSET(EVENTOS!$D$14,$A60,0)),OFFSET($F$15,$A60,0)))</f>
        <v/>
      </c>
      <c r="O60" s="178"/>
      <c r="Q60" s="178"/>
      <c r="R60" s="179"/>
      <c r="S60" s="179"/>
      <c r="T60" s="179"/>
      <c r="U60" s="179"/>
      <c r="V60" s="179"/>
      <c r="W60" s="179"/>
      <c r="X60" s="179"/>
      <c r="Y60" s="179"/>
      <c r="Z60" s="180"/>
      <c r="AB60" s="544">
        <f ca="1">IF(AND($D60="Serviço",AB$12&lt;&gt;0,$H60&gt;0,OR(AUTOEVENTO&lt;&gt;"manual",$M60&lt;&gt;1)), IF(Import.TipoArredondamento&lt;&gt;"TransfereGOV", ROUND(OFFSET($P60,0,AB$13),15-13*ORÇAMENTO!$AF$7)/$H60*OFFSET(ORÇAMENTO!$X$15,ROW(AB60)-ROW(AB$15),0), ROUND(ROUND(OFFSET($P60,0,AB$13),15-13*ORÇAMENTO!$AF$7)*OFFSET(ORÇAMENTO!$W$15,ROW(AB60)-ROW(AB$15),0),15-13*ORÇAMENTO!$AF$11)),0)</f>
        <v>0</v>
      </c>
      <c r="AC60" s="545">
        <f ca="1">IF(AND($D60="Serviço",AC$12&lt;&gt;0,$H60&gt;0,OR(AUTOEVENTO&lt;&gt;"manual",$M60&lt;&gt;1)), IF(Import.TipoArredondamento&lt;&gt;"TransfereGOV", ROUND(OFFSET($P60,0,AC$13),15-13*ORÇAMENTO!$AF$7)/$H60*OFFSET(ORÇAMENTO!$X$15,ROW(AC60)-ROW(AC$15),0), ROUND(ROUND(OFFSET($P60,0,AC$13),15-13*ORÇAMENTO!$AF$7)*OFFSET(ORÇAMENTO!$W$15,ROW(AC60)-ROW(AC$15),0),15-13*ORÇAMENTO!$AF$11)),0)</f>
        <v>0</v>
      </c>
      <c r="AD60" s="545">
        <f ca="1">IF(AND($D60="Serviço",AD$12&lt;&gt;0,$H60&gt;0,OR(AUTOEVENTO&lt;&gt;"manual",$M60&lt;&gt;1)), IF(Import.TipoArredondamento&lt;&gt;"TransfereGOV", ROUND(OFFSET($P60,0,AD$13),15-13*ORÇAMENTO!$AF$7)/$H60*OFFSET(ORÇAMENTO!$X$15,ROW(AD60)-ROW(AD$15),0), ROUND(ROUND(OFFSET($P60,0,AD$13),15-13*ORÇAMENTO!$AF$7)*OFFSET(ORÇAMENTO!$W$15,ROW(AD60)-ROW(AD$15),0),15-13*ORÇAMENTO!$AF$11)),0)</f>
        <v>0</v>
      </c>
      <c r="AE60" s="545">
        <f ca="1">IF(AND($D60="Serviço",AE$12&lt;&gt;0,$H60&gt;0,OR(AUTOEVENTO&lt;&gt;"manual",$M60&lt;&gt;1)), IF(Import.TipoArredondamento&lt;&gt;"TransfereGOV", ROUND(OFFSET($P60,0,AE$13),15-13*ORÇAMENTO!$AF$7)/$H60*OFFSET(ORÇAMENTO!$X$15,ROW(AE60)-ROW(AE$15),0), ROUND(ROUND(OFFSET($P60,0,AE$13),15-13*ORÇAMENTO!$AF$7)*OFFSET(ORÇAMENTO!$W$15,ROW(AE60)-ROW(AE$15),0),15-13*ORÇAMENTO!$AF$11)),0)</f>
        <v>0</v>
      </c>
      <c r="AF60" s="545">
        <f ca="1">IF(AND($D60="Serviço",AF$12&lt;&gt;0,$H60&gt;0,OR(AUTOEVENTO&lt;&gt;"manual",$M60&lt;&gt;1)), IF(Import.TipoArredondamento&lt;&gt;"TransfereGOV", ROUND(OFFSET($P60,0,AF$13),15-13*ORÇAMENTO!$AF$7)/$H60*OFFSET(ORÇAMENTO!$X$15,ROW(AF60)-ROW(AF$15),0), ROUND(ROUND(OFFSET($P60,0,AF$13),15-13*ORÇAMENTO!$AF$7)*OFFSET(ORÇAMENTO!$W$15,ROW(AF60)-ROW(AF$15),0),15-13*ORÇAMENTO!$AF$11)),0)</f>
        <v>0</v>
      </c>
      <c r="AG60" s="545">
        <f ca="1">IF(AND($D60="Serviço",AG$12&lt;&gt;0,$H60&gt;0,OR(AUTOEVENTO&lt;&gt;"manual",$M60&lt;&gt;1)), IF(Import.TipoArredondamento&lt;&gt;"TransfereGOV", ROUND(OFFSET($P60,0,AG$13),15-13*ORÇAMENTO!$AF$7)/$H60*OFFSET(ORÇAMENTO!$X$15,ROW(AG60)-ROW(AG$15),0), ROUND(ROUND(OFFSET($P60,0,AG$13),15-13*ORÇAMENTO!$AF$7)*OFFSET(ORÇAMENTO!$W$15,ROW(AG60)-ROW(AG$15),0),15-13*ORÇAMENTO!$AF$11)),0)</f>
        <v>0</v>
      </c>
      <c r="AH60" s="545">
        <f ca="1">IF(AND($D60="Serviço",AH$12&lt;&gt;0,$H60&gt;0,OR(AUTOEVENTO&lt;&gt;"manual",$M60&lt;&gt;1)), IF(Import.TipoArredondamento&lt;&gt;"TransfereGOV", ROUND(OFFSET($P60,0,AH$13),15-13*ORÇAMENTO!$AF$7)/$H60*OFFSET(ORÇAMENTO!$X$15,ROW(AH60)-ROW(AH$15),0), ROUND(ROUND(OFFSET($P60,0,AH$13),15-13*ORÇAMENTO!$AF$7)*OFFSET(ORÇAMENTO!$W$15,ROW(AH60)-ROW(AH$15),0),15-13*ORÇAMENTO!$AF$11)),0)</f>
        <v>0</v>
      </c>
      <c r="AI60" s="545">
        <f ca="1">IF(AND($D60="Serviço",AI$12&lt;&gt;0,$H60&gt;0,OR(AUTOEVENTO&lt;&gt;"manual",$M60&lt;&gt;1)), IF(Import.TipoArredondamento&lt;&gt;"TransfereGOV", ROUND(OFFSET($P60,0,AI$13),15-13*ORÇAMENTO!$AF$7)/$H60*OFFSET(ORÇAMENTO!$X$15,ROW(AI60)-ROW(AI$15),0), ROUND(ROUND(OFFSET($P60,0,AI$13),15-13*ORÇAMENTO!$AF$7)*OFFSET(ORÇAMENTO!$W$15,ROW(AI60)-ROW(AI$15),0),15-13*ORÇAMENTO!$AF$11)),0)</f>
        <v>0</v>
      </c>
      <c r="AJ60" s="545">
        <f ca="1">IF(AND($D60="Serviço",AJ$12&lt;&gt;0,$H60&gt;0,OR(AUTOEVENTO&lt;&gt;"manual",$M60&lt;&gt;1)), IF(Import.TipoArredondamento&lt;&gt;"TransfereGOV", ROUND(OFFSET($P60,0,AJ$13),15-13*ORÇAMENTO!$AF$7)/$H60*OFFSET(ORÇAMENTO!$X$15,ROW(AJ60)-ROW(AJ$15),0), ROUND(ROUND(OFFSET($P60,0,AJ$13),15-13*ORÇAMENTO!$AF$7)*OFFSET(ORÇAMENTO!$W$15,ROW(AJ60)-ROW(AJ$15),0),15-13*ORÇAMENTO!$AF$11)),0)</f>
        <v>0</v>
      </c>
      <c r="AK60" s="546">
        <f ca="1">IF(AND($D60="Serviço",AK$12&lt;&gt;0,$H60&gt;0,OR(AUTOEVENTO&lt;&gt;"manual",$M60&lt;&gt;1)), IF(Import.TipoArredondamento&lt;&gt;"TransfereGOV", ROUND(OFFSET($P60,0,AK$13),15-13*ORÇAMENTO!$AF$7)/$H60*OFFSET(ORÇAMENTO!$X$15,ROW(AK60)-ROW(AK$15),0), ROUND(ROUND(OFFSET($P60,0,AK$13),15-13*ORÇAMENTO!$AF$7)*OFFSET(ORÇAMENTO!$W$15,ROW(AK60)-ROW(AK$15),0),15-13*ORÇAMENTO!$AF$11)),0)</f>
        <v>0</v>
      </c>
      <c r="AM60" s="181">
        <f ca="1">IF($D60&lt;&gt;"Serviço",0,IF(AND(AUTOEVENTO="Manual",$M60=1),0,IF(OFFSET(CRONOPLE!$F$14,$M60,AM$13)="",10^12,OFFSET(CRONOPLE!$F$14,$M60,AM$13))))</f>
        <v>0</v>
      </c>
      <c r="AN60" s="181">
        <f ca="1">IF($D60&lt;&gt;"Serviço",0,IF(AND(AUTOEVENTO="Manual",$M60=1),0,IF(OFFSET(CRONOPLE!$F$14,$M60,AN$13)="",10^12,OFFSET(CRONOPLE!$F$14,$M60,AN$13))))</f>
        <v>0</v>
      </c>
      <c r="AO60" s="181">
        <f ca="1">IF($D60&lt;&gt;"Serviço",0,IF(AND(AUTOEVENTO="Manual",$M60=1),0,IF(OFFSET(CRONOPLE!$F$14,$M60,AO$13)="",10^12,OFFSET(CRONOPLE!$F$14,$M60,AO$13))))</f>
        <v>0</v>
      </c>
      <c r="AP60" s="181">
        <f ca="1">IF($D60&lt;&gt;"Serviço",0,IF(AND(AUTOEVENTO="Manual",$M60=1),0,IF(OFFSET(CRONOPLE!$F$14,$M60,AP$13)="",10^12,OFFSET(CRONOPLE!$F$14,$M60,AP$13))))</f>
        <v>0</v>
      </c>
      <c r="AQ60" s="181">
        <f ca="1">IF($D60&lt;&gt;"Serviço",0,IF(AND(AUTOEVENTO="Manual",$M60=1),0,IF(OFFSET(CRONOPLE!$F$14,$M60,AQ$13)="",10^12,OFFSET(CRONOPLE!$F$14,$M60,AQ$13))))</f>
        <v>0</v>
      </c>
      <c r="AR60" s="181">
        <f ca="1">IF($D60&lt;&gt;"Serviço",0,IF(AND(AUTOEVENTO="Manual",$M60=1),0,IF(OFFSET(CRONOPLE!$F$14,$M60,AR$13)="",10^12,OFFSET(CRONOPLE!$F$14,$M60,AR$13))))</f>
        <v>0</v>
      </c>
      <c r="AS60" s="181">
        <f ca="1">IF($D60&lt;&gt;"Serviço",0,IF(AND(AUTOEVENTO="Manual",$M60=1),0,IF(OFFSET(CRONOPLE!$F$14,$M60,AS$13)="",10^12,OFFSET(CRONOPLE!$F$14,$M60,AS$13))))</f>
        <v>0</v>
      </c>
      <c r="AT60" s="181">
        <f ca="1">IF($D60&lt;&gt;"Serviço",0,IF(AND(AUTOEVENTO="Manual",$M60=1),0,IF(OFFSET(CRONOPLE!$F$14,$M60,AT$13)="",10^12,OFFSET(CRONOPLE!$F$14,$M60,AT$13))))</f>
        <v>0</v>
      </c>
      <c r="AU60" s="181">
        <f ca="1">IF($D60&lt;&gt;"Serviço",0,IF(AND(AUTOEVENTO="Manual",$M60=1),0,IF(OFFSET(CRONOPLE!$F$14,$M60,AU$13)="",10^12,OFFSET(CRONOPLE!$F$14,$M60,AU$13))))</f>
        <v>0</v>
      </c>
      <c r="AV60" s="181">
        <f ca="1">IF($D60&lt;&gt;"Serviço",0,IF(AND(AUTOEVENTO="Manual",$M60=1),0,IF(OFFSET(CRONOPLE!$F$14,$M60,AV$13)="",10^12,OFFSET(CRONOPLE!$F$14,$M60,AV$13))))</f>
        <v>0</v>
      </c>
      <c r="AX60" s="182">
        <f ca="1">IF($D60&lt;&gt;"Serviço",0,IF(OR(AND(AUTOEVENTO="Manual",$M60=1),$M60&gt;(ROW(PLE.lastrow)-ROW(PLE.firstrow))),0,IF(OFFSET(PLE!$G$14,$M60,AX$13)="",10^12,OFFSET(PLE!$G$14,$M60,AX$13))))</f>
        <v>0</v>
      </c>
      <c r="AY60" s="182">
        <f ca="1">IF($D60&lt;&gt;"Serviço",0,IF(OR(AND(AUTOEVENTO="Manual",$M60=1),$M60&gt;(ROW(PLE.lastrow)-ROW(PLE.firstrow))),0,IF(OFFSET(PLE!$G$14,$M60,AY$13)="",10^12,OFFSET(PLE!$G$14,$M60,AY$13))))</f>
        <v>0</v>
      </c>
      <c r="AZ60" s="182">
        <f ca="1">IF($D60&lt;&gt;"Serviço",0,IF(OR(AND(AUTOEVENTO="Manual",$M60=1),$M60&gt;(ROW(PLE.lastrow)-ROW(PLE.firstrow))),0,IF(OFFSET(PLE!$G$14,$M60,AZ$13)="",10^12,OFFSET(PLE!$G$14,$M60,AZ$13))))</f>
        <v>0</v>
      </c>
      <c r="BA60" s="182">
        <f ca="1">IF($D60&lt;&gt;"Serviço",0,IF(OR(AND(AUTOEVENTO="Manual",$M60=1),$M60&gt;(ROW(PLE.lastrow)-ROW(PLE.firstrow))),0,IF(OFFSET(PLE!$G$14,$M60,BA$13)="",10^12,OFFSET(PLE!$G$14,$M60,BA$13))))</f>
        <v>0</v>
      </c>
      <c r="BB60" s="182">
        <f ca="1">IF($D60&lt;&gt;"Serviço",0,IF(OR(AND(AUTOEVENTO="Manual",$M60=1),$M60&gt;(ROW(PLE.lastrow)-ROW(PLE.firstrow))),0,IF(OFFSET(PLE!$G$14,$M60,BB$13)="",10^12,OFFSET(PLE!$G$14,$M60,BB$13))))</f>
        <v>0</v>
      </c>
      <c r="BC60" s="182">
        <f ca="1">IF($D60&lt;&gt;"Serviço",0,IF(OR(AND(AUTOEVENTO="Manual",$M60=1),$M60&gt;(ROW(PLE.lastrow)-ROW(PLE.firstrow))),0,IF(OFFSET(PLE!$G$14,$M60,BC$13)="",10^12,OFFSET(PLE!$G$14,$M60,BC$13))))</f>
        <v>0</v>
      </c>
      <c r="BD60" s="182">
        <f ca="1">IF($D60&lt;&gt;"Serviço",0,IF(OR(AND(AUTOEVENTO="Manual",$M60=1),$M60&gt;(ROW(PLE.lastrow)-ROW(PLE.firstrow))),0,IF(OFFSET(PLE!$G$14,$M60,BD$13)="",10^12,OFFSET(PLE!$G$14,$M60,BD$13))))</f>
        <v>0</v>
      </c>
      <c r="BE60" s="182">
        <f ca="1">IF($D60&lt;&gt;"Serviço",0,IF(OR(AND(AUTOEVENTO="Manual",$M60=1),$M60&gt;(ROW(PLE.lastrow)-ROW(PLE.firstrow))),0,IF(OFFSET(PLE!$G$14,$M60,BE$13)="",10^12,OFFSET(PLE!$G$14,$M60,BE$13))))</f>
        <v>0</v>
      </c>
      <c r="BF60" s="182">
        <f ca="1">IF($D60&lt;&gt;"Serviço",0,IF(OR(AND(AUTOEVENTO="Manual",$M60=1),$M60&gt;(ROW(PLE.lastrow)-ROW(PLE.firstrow))),0,IF(OFFSET(PLE!$G$14,$M60,BF$13)="",10^12,OFFSET(PLE!$G$14,$M60,BF$13))))</f>
        <v>0</v>
      </c>
      <c r="BG60" s="182">
        <f ca="1">IF($D60&lt;&gt;"Serviço",0,IF(OR(AND(AUTOEVENTO="Manual",$M60=1),$M60&gt;(ROW(PLE.lastrow)-ROW(PLE.firstrow))),0,IF(OFFSET(PLE!$G$14,$M60,BG$13)="",10^12,OFFSET(PLE!$G$14,$M60,BG$13))))</f>
        <v>0</v>
      </c>
    </row>
    <row r="61" spans="1:59" ht="12.75" x14ac:dyDescent="0.2">
      <c r="A61" s="7" t="str">
        <f t="shared" ca="1" si="8"/>
        <v>45</v>
      </c>
      <c r="B61" s="7" t="str">
        <f ca="1">OFFSET(ORÇAMENTO!C$15,ROW(B61)-ROW(B$15),0)</f>
        <v>S</v>
      </c>
      <c r="C61" s="7" t="str">
        <f ca="1">OFFSET(ORÇAMENTO!L$15,ROW(C61)-ROW(C$15),0)</f>
        <v>F</v>
      </c>
      <c r="D61" s="118" t="str">
        <f ca="1">OFFSET(ORÇAMENTO!N$15,ROW(D61)-ROW(D$15),0)</f>
        <v>Serviço</v>
      </c>
      <c r="E61" s="119" t="str">
        <f ca="1">OFFSET(ORÇAMENTO!O$15,ROW(E61)-ROW(E$15),0)</f>
        <v>2.2.1.</v>
      </c>
      <c r="F61" s="172" t="str">
        <f ca="1">OFFSET(ORÇAMENTO!R$15,ROW(F61)-ROW(F$15),0)</f>
        <v>Engenheiro</v>
      </c>
      <c r="G61" s="173" t="str">
        <f ca="1">IF($D61&lt;&gt;"Serviço","",OFFSET(ORÇAMENTO!S$15,ROW(G61)-ROW(G$15),0))</f>
        <v>h</v>
      </c>
      <c r="H61" s="124">
        <f ca="1">IF($D61&lt;&gt;"Serviço",0,IF(ACOMPANHAMENTO="BM",ROUND(OFFSET(ORÇAMENTO!AJ$15,ROW(H61)-ROW(H$15),0),15-13*ORÇAMENTO!$AF$7),SUMPRODUCT(($Q$12:$AA$12&lt;&gt;"")*ROUND($Q61:$AA61,15-13*ORÇAMENTO!$AF$7))))</f>
        <v>10</v>
      </c>
      <c r="I61" s="561"/>
      <c r="K61" s="174"/>
      <c r="L61" s="175" t="s">
        <v>255</v>
      </c>
      <c r="M61" s="176">
        <f ca="1">IF($D61&lt;&gt;"Serviço","",IF(AUTOEVENTO="manual",$A61,IF(ISERROR(MATCH($A61,$A$15:OFFSET($A61,-1,0),0)),MAX($M$15:OFFSET(M61,-1,0))+1,INDEX($M$15:OFFSET(M61,-1,0),MATCH($A61,$A$15:OFFSET($A61,-1,0),0)))))</f>
        <v>8</v>
      </c>
      <c r="N61" s="177" t="str">
        <f ca="1">IF($D61&lt;&gt;"Serviço","",IF(AUTOEVENTO="Manual",IF($A61=0,"&lt;-- defina o número do agrupador",OFFSET(EVENTOS!$D$14,$A61,0)),OFFSET($F$15,$A61,0)))</f>
        <v>ADMINISTRAÇÃO LOCAL</v>
      </c>
      <c r="O61" s="178"/>
      <c r="Q61" s="178"/>
      <c r="R61" s="179"/>
      <c r="S61" s="179"/>
      <c r="T61" s="179"/>
      <c r="U61" s="179"/>
      <c r="V61" s="179"/>
      <c r="W61" s="179"/>
      <c r="X61" s="179"/>
      <c r="Y61" s="179"/>
      <c r="Z61" s="180"/>
      <c r="AB61" s="544">
        <f ca="1">IF(AND($D61="Serviço",AB$12&lt;&gt;0,$H61&gt;0,OR(AUTOEVENTO&lt;&gt;"manual",$M61&lt;&gt;1)), IF(Import.TipoArredondamento&lt;&gt;"TransfereGOV", ROUND(OFFSET($P61,0,AB$13),15-13*ORÇAMENTO!$AF$7)/$H61*OFFSET(ORÇAMENTO!$X$15,ROW(AB61)-ROW(AB$15),0), ROUND(ROUND(OFFSET($P61,0,AB$13),15-13*ORÇAMENTO!$AF$7)*OFFSET(ORÇAMENTO!$W$15,ROW(AB61)-ROW(AB$15),0),15-13*ORÇAMENTO!$AF$11)),0)</f>
        <v>0</v>
      </c>
      <c r="AC61" s="545">
        <f ca="1">IF(AND($D61="Serviço",AC$12&lt;&gt;0,$H61&gt;0,OR(AUTOEVENTO&lt;&gt;"manual",$M61&lt;&gt;1)), IF(Import.TipoArredondamento&lt;&gt;"TransfereGOV", ROUND(OFFSET($P61,0,AC$13),15-13*ORÇAMENTO!$AF$7)/$H61*OFFSET(ORÇAMENTO!$X$15,ROW(AC61)-ROW(AC$15),0), ROUND(ROUND(OFFSET($P61,0,AC$13),15-13*ORÇAMENTO!$AF$7)*OFFSET(ORÇAMENTO!$W$15,ROW(AC61)-ROW(AC$15),0),15-13*ORÇAMENTO!$AF$11)),0)</f>
        <v>0</v>
      </c>
      <c r="AD61" s="545">
        <f ca="1">IF(AND($D61="Serviço",AD$12&lt;&gt;0,$H61&gt;0,OR(AUTOEVENTO&lt;&gt;"manual",$M61&lt;&gt;1)), IF(Import.TipoArredondamento&lt;&gt;"TransfereGOV", ROUND(OFFSET($P61,0,AD$13),15-13*ORÇAMENTO!$AF$7)/$H61*OFFSET(ORÇAMENTO!$X$15,ROW(AD61)-ROW(AD$15),0), ROUND(ROUND(OFFSET($P61,0,AD$13),15-13*ORÇAMENTO!$AF$7)*OFFSET(ORÇAMENTO!$W$15,ROW(AD61)-ROW(AD$15),0),15-13*ORÇAMENTO!$AF$11)),0)</f>
        <v>0</v>
      </c>
      <c r="AE61" s="545">
        <f ca="1">IF(AND($D61="Serviço",AE$12&lt;&gt;0,$H61&gt;0,OR(AUTOEVENTO&lt;&gt;"manual",$M61&lt;&gt;1)), IF(Import.TipoArredondamento&lt;&gt;"TransfereGOV", ROUND(OFFSET($P61,0,AE$13),15-13*ORÇAMENTO!$AF$7)/$H61*OFFSET(ORÇAMENTO!$X$15,ROW(AE61)-ROW(AE$15),0), ROUND(ROUND(OFFSET($P61,0,AE$13),15-13*ORÇAMENTO!$AF$7)*OFFSET(ORÇAMENTO!$W$15,ROW(AE61)-ROW(AE$15),0),15-13*ORÇAMENTO!$AF$11)),0)</f>
        <v>0</v>
      </c>
      <c r="AF61" s="545">
        <f ca="1">IF(AND($D61="Serviço",AF$12&lt;&gt;0,$H61&gt;0,OR(AUTOEVENTO&lt;&gt;"manual",$M61&lt;&gt;1)), IF(Import.TipoArredondamento&lt;&gt;"TransfereGOV", ROUND(OFFSET($P61,0,AF$13),15-13*ORÇAMENTO!$AF$7)/$H61*OFFSET(ORÇAMENTO!$X$15,ROW(AF61)-ROW(AF$15),0), ROUND(ROUND(OFFSET($P61,0,AF$13),15-13*ORÇAMENTO!$AF$7)*OFFSET(ORÇAMENTO!$W$15,ROW(AF61)-ROW(AF$15),0),15-13*ORÇAMENTO!$AF$11)),0)</f>
        <v>0</v>
      </c>
      <c r="AG61" s="545">
        <f ca="1">IF(AND($D61="Serviço",AG$12&lt;&gt;0,$H61&gt;0,OR(AUTOEVENTO&lt;&gt;"manual",$M61&lt;&gt;1)), IF(Import.TipoArredondamento&lt;&gt;"TransfereGOV", ROUND(OFFSET($P61,0,AG$13),15-13*ORÇAMENTO!$AF$7)/$H61*OFFSET(ORÇAMENTO!$X$15,ROW(AG61)-ROW(AG$15),0), ROUND(ROUND(OFFSET($P61,0,AG$13),15-13*ORÇAMENTO!$AF$7)*OFFSET(ORÇAMENTO!$W$15,ROW(AG61)-ROW(AG$15),0),15-13*ORÇAMENTO!$AF$11)),0)</f>
        <v>0</v>
      </c>
      <c r="AH61" s="545">
        <f ca="1">IF(AND($D61="Serviço",AH$12&lt;&gt;0,$H61&gt;0,OR(AUTOEVENTO&lt;&gt;"manual",$M61&lt;&gt;1)), IF(Import.TipoArredondamento&lt;&gt;"TransfereGOV", ROUND(OFFSET($P61,0,AH$13),15-13*ORÇAMENTO!$AF$7)/$H61*OFFSET(ORÇAMENTO!$X$15,ROW(AH61)-ROW(AH$15),0), ROUND(ROUND(OFFSET($P61,0,AH$13),15-13*ORÇAMENTO!$AF$7)*OFFSET(ORÇAMENTO!$W$15,ROW(AH61)-ROW(AH$15),0),15-13*ORÇAMENTO!$AF$11)),0)</f>
        <v>0</v>
      </c>
      <c r="AI61" s="545">
        <f ca="1">IF(AND($D61="Serviço",AI$12&lt;&gt;0,$H61&gt;0,OR(AUTOEVENTO&lt;&gt;"manual",$M61&lt;&gt;1)), IF(Import.TipoArredondamento&lt;&gt;"TransfereGOV", ROUND(OFFSET($P61,0,AI$13),15-13*ORÇAMENTO!$AF$7)/$H61*OFFSET(ORÇAMENTO!$X$15,ROW(AI61)-ROW(AI$15),0), ROUND(ROUND(OFFSET($P61,0,AI$13),15-13*ORÇAMENTO!$AF$7)*OFFSET(ORÇAMENTO!$W$15,ROW(AI61)-ROW(AI$15),0),15-13*ORÇAMENTO!$AF$11)),0)</f>
        <v>0</v>
      </c>
      <c r="AJ61" s="545">
        <f ca="1">IF(AND($D61="Serviço",AJ$12&lt;&gt;0,$H61&gt;0,OR(AUTOEVENTO&lt;&gt;"manual",$M61&lt;&gt;1)), IF(Import.TipoArredondamento&lt;&gt;"TransfereGOV", ROUND(OFFSET($P61,0,AJ$13),15-13*ORÇAMENTO!$AF$7)/$H61*OFFSET(ORÇAMENTO!$X$15,ROW(AJ61)-ROW(AJ$15),0), ROUND(ROUND(OFFSET($P61,0,AJ$13),15-13*ORÇAMENTO!$AF$7)*OFFSET(ORÇAMENTO!$W$15,ROW(AJ61)-ROW(AJ$15),0),15-13*ORÇAMENTO!$AF$11)),0)</f>
        <v>0</v>
      </c>
      <c r="AK61" s="546">
        <f ca="1">IF(AND($D61="Serviço",AK$12&lt;&gt;0,$H61&gt;0,OR(AUTOEVENTO&lt;&gt;"manual",$M61&lt;&gt;1)), IF(Import.TipoArredondamento&lt;&gt;"TransfereGOV", ROUND(OFFSET($P61,0,AK$13),15-13*ORÇAMENTO!$AF$7)/$H61*OFFSET(ORÇAMENTO!$X$15,ROW(AK61)-ROW(AK$15),0), ROUND(ROUND(OFFSET($P61,0,AK$13),15-13*ORÇAMENTO!$AF$7)*OFFSET(ORÇAMENTO!$W$15,ROW(AK61)-ROW(AK$15),0),15-13*ORÇAMENTO!$AF$11)),0)</f>
        <v>0</v>
      </c>
      <c r="AM61" s="181">
        <f ca="1">IF($D61&lt;&gt;"Serviço",0,IF(AND(AUTOEVENTO="Manual",$M61=1),0,IF(OFFSET(CRONOPLE!$F$14,$M61,AM$13)="",10^12,OFFSET(CRONOPLE!$F$14,$M61,AM$13))))</f>
        <v>1000000000000</v>
      </c>
      <c r="AN61" s="181">
        <f ca="1">IF($D61&lt;&gt;"Serviço",0,IF(AND(AUTOEVENTO="Manual",$M61=1),0,IF(OFFSET(CRONOPLE!$F$14,$M61,AN$13)="",10^12,OFFSET(CRONOPLE!$F$14,$M61,AN$13))))</f>
        <v>1000000000000</v>
      </c>
      <c r="AO61" s="181">
        <f ca="1">IF($D61&lt;&gt;"Serviço",0,IF(AND(AUTOEVENTO="Manual",$M61=1),0,IF(OFFSET(CRONOPLE!$F$14,$M61,AO$13)="",10^12,OFFSET(CRONOPLE!$F$14,$M61,AO$13))))</f>
        <v>1000000000000</v>
      </c>
      <c r="AP61" s="181">
        <f ca="1">IF($D61&lt;&gt;"Serviço",0,IF(AND(AUTOEVENTO="Manual",$M61=1),0,IF(OFFSET(CRONOPLE!$F$14,$M61,AP$13)="",10^12,OFFSET(CRONOPLE!$F$14,$M61,AP$13))))</f>
        <v>1000000000000</v>
      </c>
      <c r="AQ61" s="181">
        <f ca="1">IF($D61&lt;&gt;"Serviço",0,IF(AND(AUTOEVENTO="Manual",$M61=1),0,IF(OFFSET(CRONOPLE!$F$14,$M61,AQ$13)="",10^12,OFFSET(CRONOPLE!$F$14,$M61,AQ$13))))</f>
        <v>1000000000000</v>
      </c>
      <c r="AR61" s="181">
        <f ca="1">IF($D61&lt;&gt;"Serviço",0,IF(AND(AUTOEVENTO="Manual",$M61=1),0,IF(OFFSET(CRONOPLE!$F$14,$M61,AR$13)="",10^12,OFFSET(CRONOPLE!$F$14,$M61,AR$13))))</f>
        <v>1000000000000</v>
      </c>
      <c r="AS61" s="181">
        <f ca="1">IF($D61&lt;&gt;"Serviço",0,IF(AND(AUTOEVENTO="Manual",$M61=1),0,IF(OFFSET(CRONOPLE!$F$14,$M61,AS$13)="",10^12,OFFSET(CRONOPLE!$F$14,$M61,AS$13))))</f>
        <v>1000000000000</v>
      </c>
      <c r="AT61" s="181">
        <f ca="1">IF($D61&lt;&gt;"Serviço",0,IF(AND(AUTOEVENTO="Manual",$M61=1),0,IF(OFFSET(CRONOPLE!$F$14,$M61,AT$13)="",10^12,OFFSET(CRONOPLE!$F$14,$M61,AT$13))))</f>
        <v>1000000000000</v>
      </c>
      <c r="AU61" s="181">
        <f ca="1">IF($D61&lt;&gt;"Serviço",0,IF(AND(AUTOEVENTO="Manual",$M61=1),0,IF(OFFSET(CRONOPLE!$F$14,$M61,AU$13)="",10^12,OFFSET(CRONOPLE!$F$14,$M61,AU$13))))</f>
        <v>1000000000000</v>
      </c>
      <c r="AV61" s="181">
        <f ca="1">IF($D61&lt;&gt;"Serviço",0,IF(AND(AUTOEVENTO="Manual",$M61=1),0,IF(OFFSET(CRONOPLE!$F$14,$M61,AV$13)="",10^12,OFFSET(CRONOPLE!$F$14,$M61,AV$13))))</f>
        <v>1000000000000</v>
      </c>
      <c r="AX61" s="182">
        <f ca="1">IF($D61&lt;&gt;"Serviço",0,IF(OR(AND(AUTOEVENTO="Manual",$M61=1),$M61&gt;(ROW(PLE.lastrow)-ROW(PLE.firstrow))),0,IF(OFFSET(PLE!$G$14,$M61,AX$13)="",10^12,OFFSET(PLE!$G$14,$M61,AX$13))))</f>
        <v>1000000000000</v>
      </c>
      <c r="AY61" s="182">
        <f ca="1">IF($D61&lt;&gt;"Serviço",0,IF(OR(AND(AUTOEVENTO="Manual",$M61=1),$M61&gt;(ROW(PLE.lastrow)-ROW(PLE.firstrow))),0,IF(OFFSET(PLE!$G$14,$M61,AY$13)="",10^12,OFFSET(PLE!$G$14,$M61,AY$13))))</f>
        <v>1000000000000</v>
      </c>
      <c r="AZ61" s="182">
        <f ca="1">IF($D61&lt;&gt;"Serviço",0,IF(OR(AND(AUTOEVENTO="Manual",$M61=1),$M61&gt;(ROW(PLE.lastrow)-ROW(PLE.firstrow))),0,IF(OFFSET(PLE!$G$14,$M61,AZ$13)="",10^12,OFFSET(PLE!$G$14,$M61,AZ$13))))</f>
        <v>1000000000000</v>
      </c>
      <c r="BA61" s="182">
        <f ca="1">IF($D61&lt;&gt;"Serviço",0,IF(OR(AND(AUTOEVENTO="Manual",$M61=1),$M61&gt;(ROW(PLE.lastrow)-ROW(PLE.firstrow))),0,IF(OFFSET(PLE!$G$14,$M61,BA$13)="",10^12,OFFSET(PLE!$G$14,$M61,BA$13))))</f>
        <v>1000000000000</v>
      </c>
      <c r="BB61" s="182">
        <f ca="1">IF($D61&lt;&gt;"Serviço",0,IF(OR(AND(AUTOEVENTO="Manual",$M61=1),$M61&gt;(ROW(PLE.lastrow)-ROW(PLE.firstrow))),0,IF(OFFSET(PLE!$G$14,$M61,BB$13)="",10^12,OFFSET(PLE!$G$14,$M61,BB$13))))</f>
        <v>1000000000000</v>
      </c>
      <c r="BC61" s="182">
        <f ca="1">IF($D61&lt;&gt;"Serviço",0,IF(OR(AND(AUTOEVENTO="Manual",$M61=1),$M61&gt;(ROW(PLE.lastrow)-ROW(PLE.firstrow))),0,IF(OFFSET(PLE!$G$14,$M61,BC$13)="",10^12,OFFSET(PLE!$G$14,$M61,BC$13))))</f>
        <v>1000000000000</v>
      </c>
      <c r="BD61" s="182">
        <f ca="1">IF($D61&lt;&gt;"Serviço",0,IF(OR(AND(AUTOEVENTO="Manual",$M61=1),$M61&gt;(ROW(PLE.lastrow)-ROW(PLE.firstrow))),0,IF(OFFSET(PLE!$G$14,$M61,BD$13)="",10^12,OFFSET(PLE!$G$14,$M61,BD$13))))</f>
        <v>1000000000000</v>
      </c>
      <c r="BE61" s="182">
        <f ca="1">IF($D61&lt;&gt;"Serviço",0,IF(OR(AND(AUTOEVENTO="Manual",$M61=1),$M61&gt;(ROW(PLE.lastrow)-ROW(PLE.firstrow))),0,IF(OFFSET(PLE!$G$14,$M61,BE$13)="",10^12,OFFSET(PLE!$G$14,$M61,BE$13))))</f>
        <v>1000000000000</v>
      </c>
      <c r="BF61" s="182">
        <f ca="1">IF($D61&lt;&gt;"Serviço",0,IF(OR(AND(AUTOEVENTO="Manual",$M61=1),$M61&gt;(ROW(PLE.lastrow)-ROW(PLE.firstrow))),0,IF(OFFSET(PLE!$G$14,$M61,BF$13)="",10^12,OFFSET(PLE!$G$14,$M61,BF$13))))</f>
        <v>1000000000000</v>
      </c>
      <c r="BG61" s="182">
        <f ca="1">IF($D61&lt;&gt;"Serviço",0,IF(OR(AND(AUTOEVENTO="Manual",$M61=1),$M61&gt;(ROW(PLE.lastrow)-ROW(PLE.firstrow))),0,IF(OFFSET(PLE!$G$14,$M61,BG$13)="",10^12,OFFSET(PLE!$G$14,$M61,BG$13))))</f>
        <v>1000000000000</v>
      </c>
    </row>
    <row r="62" spans="1:59" s="577" customFormat="1" ht="12.75" x14ac:dyDescent="0.2">
      <c r="A62" s="7" t="str">
        <f t="shared" ca="1" si="8"/>
        <v>45</v>
      </c>
      <c r="B62" s="7" t="str">
        <f ca="1">OFFSET(ORÇAMENTO!C$15,ROW(B62)-ROW(B$15),0)</f>
        <v>S</v>
      </c>
      <c r="C62" s="7" t="str">
        <f ca="1">OFFSET(ORÇAMENTO!L$15,ROW(C62)-ROW(C$15),0)</f>
        <v>F</v>
      </c>
      <c r="D62" s="118" t="str">
        <f ca="1">OFFSET(ORÇAMENTO!N$15,ROW(D62)-ROW(D$15),0)</f>
        <v>Serviço</v>
      </c>
      <c r="E62" s="119" t="str">
        <f ca="1">OFFSET(ORÇAMENTO!O$15,ROW(E62)-ROW(E$15),0)</f>
        <v>2.2.2.</v>
      </c>
      <c r="F62" s="172" t="str">
        <f ca="1">OFFSET(ORÇAMENTO!R$15,ROW(F62)-ROW(F$15),0)</f>
        <v>Encarregado de pavimentação</v>
      </c>
      <c r="G62" s="173" t="str">
        <f ca="1">IF($D62&lt;&gt;"Serviço","",OFFSET(ORÇAMENTO!S$15,ROW(G62)-ROW(G$15),0))</f>
        <v>h</v>
      </c>
      <c r="H62" s="124">
        <f ca="1">IF($D62&lt;&gt;"Serviço",0,IF(ACOMPANHAMENTO="BM",ROUND(OFFSET(ORÇAMENTO!AJ$15,ROW(H62)-ROW(H$15),0),15-13*ORÇAMENTO!$AF$7),SUMPRODUCT(($Q$12:$AA$12&lt;&gt;"")*ROUND($Q62:$AA62,15-13*ORÇAMENTO!$AF$7))))</f>
        <v>40</v>
      </c>
      <c r="I62" s="561"/>
      <c r="K62" s="174"/>
      <c r="L62" s="175" t="s">
        <v>255</v>
      </c>
      <c r="M62" s="176">
        <f ca="1">IF($D62&lt;&gt;"Serviço","",IF(AUTOEVENTO="manual",$A62,IF(ISERROR(MATCH($A62,$A$15:OFFSET($A62,-1,0),0)),MAX($M$15:OFFSET(M62,-1,0))+1,INDEX($M$15:OFFSET(M62,-1,0),MATCH($A62,$A$15:OFFSET($A62,-1,0),0)))))</f>
        <v>8</v>
      </c>
      <c r="N62" s="177" t="str">
        <f ca="1">IF($D62&lt;&gt;"Serviço","",IF(AUTOEVENTO="Manual",IF($A62=0,"&lt;-- defina o número do agrupador",OFFSET(EVENTOS!$D$14,$A62,0)),OFFSET($F$15,$A62,0)))</f>
        <v>ADMINISTRAÇÃO LOCAL</v>
      </c>
      <c r="O62" s="178"/>
      <c r="Q62" s="178"/>
      <c r="R62" s="179"/>
      <c r="S62" s="179"/>
      <c r="T62" s="179"/>
      <c r="U62" s="179"/>
      <c r="V62" s="179"/>
      <c r="W62" s="179"/>
      <c r="X62" s="179"/>
      <c r="Y62" s="179"/>
      <c r="Z62" s="180"/>
      <c r="AB62" s="544">
        <f ca="1">IF(AND($D62="Serviço",AB$12&lt;&gt;0,$H62&gt;0,OR(AUTOEVENTO&lt;&gt;"manual",$M62&lt;&gt;1)), IF(Import.TipoArredondamento&lt;&gt;"TransfereGOV", ROUND(OFFSET($P62,0,AB$13),15-13*ORÇAMENTO!$AF$7)/$H62*OFFSET(ORÇAMENTO!$X$15,ROW(AB62)-ROW(AB$15),0), ROUND(ROUND(OFFSET($P62,0,AB$13),15-13*ORÇAMENTO!$AF$7)*OFFSET(ORÇAMENTO!$W$15,ROW(AB62)-ROW(AB$15),0),15-13*ORÇAMENTO!$AF$11)),0)</f>
        <v>0</v>
      </c>
      <c r="AC62" s="545">
        <f ca="1">IF(AND($D62="Serviço",AC$12&lt;&gt;0,$H62&gt;0,OR(AUTOEVENTO&lt;&gt;"manual",$M62&lt;&gt;1)), IF(Import.TipoArredondamento&lt;&gt;"TransfereGOV", ROUND(OFFSET($P62,0,AC$13),15-13*ORÇAMENTO!$AF$7)/$H62*OFFSET(ORÇAMENTO!$X$15,ROW(AC62)-ROW(AC$15),0), ROUND(ROUND(OFFSET($P62,0,AC$13),15-13*ORÇAMENTO!$AF$7)*OFFSET(ORÇAMENTO!$W$15,ROW(AC62)-ROW(AC$15),0),15-13*ORÇAMENTO!$AF$11)),0)</f>
        <v>0</v>
      </c>
      <c r="AD62" s="545">
        <f ca="1">IF(AND($D62="Serviço",AD$12&lt;&gt;0,$H62&gt;0,OR(AUTOEVENTO&lt;&gt;"manual",$M62&lt;&gt;1)), IF(Import.TipoArredondamento&lt;&gt;"TransfereGOV", ROUND(OFFSET($P62,0,AD$13),15-13*ORÇAMENTO!$AF$7)/$H62*OFFSET(ORÇAMENTO!$X$15,ROW(AD62)-ROW(AD$15),0), ROUND(ROUND(OFFSET($P62,0,AD$13),15-13*ORÇAMENTO!$AF$7)*OFFSET(ORÇAMENTO!$W$15,ROW(AD62)-ROW(AD$15),0),15-13*ORÇAMENTO!$AF$11)),0)</f>
        <v>0</v>
      </c>
      <c r="AE62" s="545">
        <f ca="1">IF(AND($D62="Serviço",AE$12&lt;&gt;0,$H62&gt;0,OR(AUTOEVENTO&lt;&gt;"manual",$M62&lt;&gt;1)), IF(Import.TipoArredondamento&lt;&gt;"TransfereGOV", ROUND(OFFSET($P62,0,AE$13),15-13*ORÇAMENTO!$AF$7)/$H62*OFFSET(ORÇAMENTO!$X$15,ROW(AE62)-ROW(AE$15),0), ROUND(ROUND(OFFSET($P62,0,AE$13),15-13*ORÇAMENTO!$AF$7)*OFFSET(ORÇAMENTO!$W$15,ROW(AE62)-ROW(AE$15),0),15-13*ORÇAMENTO!$AF$11)),0)</f>
        <v>0</v>
      </c>
      <c r="AF62" s="545">
        <f ca="1">IF(AND($D62="Serviço",AF$12&lt;&gt;0,$H62&gt;0,OR(AUTOEVENTO&lt;&gt;"manual",$M62&lt;&gt;1)), IF(Import.TipoArredondamento&lt;&gt;"TransfereGOV", ROUND(OFFSET($P62,0,AF$13),15-13*ORÇAMENTO!$AF$7)/$H62*OFFSET(ORÇAMENTO!$X$15,ROW(AF62)-ROW(AF$15),0), ROUND(ROUND(OFFSET($P62,0,AF$13),15-13*ORÇAMENTO!$AF$7)*OFFSET(ORÇAMENTO!$W$15,ROW(AF62)-ROW(AF$15),0),15-13*ORÇAMENTO!$AF$11)),0)</f>
        <v>0</v>
      </c>
      <c r="AG62" s="545">
        <f ca="1">IF(AND($D62="Serviço",AG$12&lt;&gt;0,$H62&gt;0,OR(AUTOEVENTO&lt;&gt;"manual",$M62&lt;&gt;1)), IF(Import.TipoArredondamento&lt;&gt;"TransfereGOV", ROUND(OFFSET($P62,0,AG$13),15-13*ORÇAMENTO!$AF$7)/$H62*OFFSET(ORÇAMENTO!$X$15,ROW(AG62)-ROW(AG$15),0), ROUND(ROUND(OFFSET($P62,0,AG$13),15-13*ORÇAMENTO!$AF$7)*OFFSET(ORÇAMENTO!$W$15,ROW(AG62)-ROW(AG$15),0),15-13*ORÇAMENTO!$AF$11)),0)</f>
        <v>0</v>
      </c>
      <c r="AH62" s="545">
        <f ca="1">IF(AND($D62="Serviço",AH$12&lt;&gt;0,$H62&gt;0,OR(AUTOEVENTO&lt;&gt;"manual",$M62&lt;&gt;1)), IF(Import.TipoArredondamento&lt;&gt;"TransfereGOV", ROUND(OFFSET($P62,0,AH$13),15-13*ORÇAMENTO!$AF$7)/$H62*OFFSET(ORÇAMENTO!$X$15,ROW(AH62)-ROW(AH$15),0), ROUND(ROUND(OFFSET($P62,0,AH$13),15-13*ORÇAMENTO!$AF$7)*OFFSET(ORÇAMENTO!$W$15,ROW(AH62)-ROW(AH$15),0),15-13*ORÇAMENTO!$AF$11)),0)</f>
        <v>0</v>
      </c>
      <c r="AI62" s="545">
        <f ca="1">IF(AND($D62="Serviço",AI$12&lt;&gt;0,$H62&gt;0,OR(AUTOEVENTO&lt;&gt;"manual",$M62&lt;&gt;1)), IF(Import.TipoArredondamento&lt;&gt;"TransfereGOV", ROUND(OFFSET($P62,0,AI$13),15-13*ORÇAMENTO!$AF$7)/$H62*OFFSET(ORÇAMENTO!$X$15,ROW(AI62)-ROW(AI$15),0), ROUND(ROUND(OFFSET($P62,0,AI$13),15-13*ORÇAMENTO!$AF$7)*OFFSET(ORÇAMENTO!$W$15,ROW(AI62)-ROW(AI$15),0),15-13*ORÇAMENTO!$AF$11)),0)</f>
        <v>0</v>
      </c>
      <c r="AJ62" s="545">
        <f ca="1">IF(AND($D62="Serviço",AJ$12&lt;&gt;0,$H62&gt;0,OR(AUTOEVENTO&lt;&gt;"manual",$M62&lt;&gt;1)), IF(Import.TipoArredondamento&lt;&gt;"TransfereGOV", ROUND(OFFSET($P62,0,AJ$13),15-13*ORÇAMENTO!$AF$7)/$H62*OFFSET(ORÇAMENTO!$X$15,ROW(AJ62)-ROW(AJ$15),0), ROUND(ROUND(OFFSET($P62,0,AJ$13),15-13*ORÇAMENTO!$AF$7)*OFFSET(ORÇAMENTO!$W$15,ROW(AJ62)-ROW(AJ$15),0),15-13*ORÇAMENTO!$AF$11)),0)</f>
        <v>0</v>
      </c>
      <c r="AK62" s="546">
        <f ca="1">IF(AND($D62="Serviço",AK$12&lt;&gt;0,$H62&gt;0,OR(AUTOEVENTO&lt;&gt;"manual",$M62&lt;&gt;1)), IF(Import.TipoArredondamento&lt;&gt;"TransfereGOV", ROUND(OFFSET($P62,0,AK$13),15-13*ORÇAMENTO!$AF$7)/$H62*OFFSET(ORÇAMENTO!$X$15,ROW(AK62)-ROW(AK$15),0), ROUND(ROUND(OFFSET($P62,0,AK$13),15-13*ORÇAMENTO!$AF$7)*OFFSET(ORÇAMENTO!$W$15,ROW(AK62)-ROW(AK$15),0),15-13*ORÇAMENTO!$AF$11)),0)</f>
        <v>0</v>
      </c>
      <c r="AM62" s="181">
        <f ca="1">IF($D62&lt;&gt;"Serviço",0,IF(AND(AUTOEVENTO="Manual",$M62=1),0,IF(OFFSET(CRONOPLE!$F$14,$M62,AM$13)="",10^12,OFFSET(CRONOPLE!$F$14,$M62,AM$13))))</f>
        <v>1000000000000</v>
      </c>
      <c r="AN62" s="181">
        <f ca="1">IF($D62&lt;&gt;"Serviço",0,IF(AND(AUTOEVENTO="Manual",$M62=1),0,IF(OFFSET(CRONOPLE!$F$14,$M62,AN$13)="",10^12,OFFSET(CRONOPLE!$F$14,$M62,AN$13))))</f>
        <v>1000000000000</v>
      </c>
      <c r="AO62" s="181">
        <f ca="1">IF($D62&lt;&gt;"Serviço",0,IF(AND(AUTOEVENTO="Manual",$M62=1),0,IF(OFFSET(CRONOPLE!$F$14,$M62,AO$13)="",10^12,OFFSET(CRONOPLE!$F$14,$M62,AO$13))))</f>
        <v>1000000000000</v>
      </c>
      <c r="AP62" s="181">
        <f ca="1">IF($D62&lt;&gt;"Serviço",0,IF(AND(AUTOEVENTO="Manual",$M62=1),0,IF(OFFSET(CRONOPLE!$F$14,$M62,AP$13)="",10^12,OFFSET(CRONOPLE!$F$14,$M62,AP$13))))</f>
        <v>1000000000000</v>
      </c>
      <c r="AQ62" s="181">
        <f ca="1">IF($D62&lt;&gt;"Serviço",0,IF(AND(AUTOEVENTO="Manual",$M62=1),0,IF(OFFSET(CRONOPLE!$F$14,$M62,AQ$13)="",10^12,OFFSET(CRONOPLE!$F$14,$M62,AQ$13))))</f>
        <v>1000000000000</v>
      </c>
      <c r="AR62" s="181">
        <f ca="1">IF($D62&lt;&gt;"Serviço",0,IF(AND(AUTOEVENTO="Manual",$M62=1),0,IF(OFFSET(CRONOPLE!$F$14,$M62,AR$13)="",10^12,OFFSET(CRONOPLE!$F$14,$M62,AR$13))))</f>
        <v>1000000000000</v>
      </c>
      <c r="AS62" s="181">
        <f ca="1">IF($D62&lt;&gt;"Serviço",0,IF(AND(AUTOEVENTO="Manual",$M62=1),0,IF(OFFSET(CRONOPLE!$F$14,$M62,AS$13)="",10^12,OFFSET(CRONOPLE!$F$14,$M62,AS$13))))</f>
        <v>1000000000000</v>
      </c>
      <c r="AT62" s="181">
        <f ca="1">IF($D62&lt;&gt;"Serviço",0,IF(AND(AUTOEVENTO="Manual",$M62=1),0,IF(OFFSET(CRONOPLE!$F$14,$M62,AT$13)="",10^12,OFFSET(CRONOPLE!$F$14,$M62,AT$13))))</f>
        <v>1000000000000</v>
      </c>
      <c r="AU62" s="181">
        <f ca="1">IF($D62&lt;&gt;"Serviço",0,IF(AND(AUTOEVENTO="Manual",$M62=1),0,IF(OFFSET(CRONOPLE!$F$14,$M62,AU$13)="",10^12,OFFSET(CRONOPLE!$F$14,$M62,AU$13))))</f>
        <v>1000000000000</v>
      </c>
      <c r="AV62" s="181">
        <f ca="1">IF($D62&lt;&gt;"Serviço",0,IF(AND(AUTOEVENTO="Manual",$M62=1),0,IF(OFFSET(CRONOPLE!$F$14,$M62,AV$13)="",10^12,OFFSET(CRONOPLE!$F$14,$M62,AV$13))))</f>
        <v>1000000000000</v>
      </c>
      <c r="AX62" s="182">
        <f ca="1">IF($D62&lt;&gt;"Serviço",0,IF(OR(AND(AUTOEVENTO="Manual",$M62=1),$M62&gt;(ROW(PLE.lastrow)-ROW(PLE.firstrow))),0,IF(OFFSET(PLE!$G$14,$M62,AX$13)="",10^12,OFFSET(PLE!$G$14,$M62,AX$13))))</f>
        <v>1000000000000</v>
      </c>
      <c r="AY62" s="182">
        <f ca="1">IF($D62&lt;&gt;"Serviço",0,IF(OR(AND(AUTOEVENTO="Manual",$M62=1),$M62&gt;(ROW(PLE.lastrow)-ROW(PLE.firstrow))),0,IF(OFFSET(PLE!$G$14,$M62,AY$13)="",10^12,OFFSET(PLE!$G$14,$M62,AY$13))))</f>
        <v>1000000000000</v>
      </c>
      <c r="AZ62" s="182">
        <f ca="1">IF($D62&lt;&gt;"Serviço",0,IF(OR(AND(AUTOEVENTO="Manual",$M62=1),$M62&gt;(ROW(PLE.lastrow)-ROW(PLE.firstrow))),0,IF(OFFSET(PLE!$G$14,$M62,AZ$13)="",10^12,OFFSET(PLE!$G$14,$M62,AZ$13))))</f>
        <v>1000000000000</v>
      </c>
      <c r="BA62" s="182">
        <f ca="1">IF($D62&lt;&gt;"Serviço",0,IF(OR(AND(AUTOEVENTO="Manual",$M62=1),$M62&gt;(ROW(PLE.lastrow)-ROW(PLE.firstrow))),0,IF(OFFSET(PLE!$G$14,$M62,BA$13)="",10^12,OFFSET(PLE!$G$14,$M62,BA$13))))</f>
        <v>1000000000000</v>
      </c>
      <c r="BB62" s="182">
        <f ca="1">IF($D62&lt;&gt;"Serviço",0,IF(OR(AND(AUTOEVENTO="Manual",$M62=1),$M62&gt;(ROW(PLE.lastrow)-ROW(PLE.firstrow))),0,IF(OFFSET(PLE!$G$14,$M62,BB$13)="",10^12,OFFSET(PLE!$G$14,$M62,BB$13))))</f>
        <v>1000000000000</v>
      </c>
      <c r="BC62" s="182">
        <f ca="1">IF($D62&lt;&gt;"Serviço",0,IF(OR(AND(AUTOEVENTO="Manual",$M62=1),$M62&gt;(ROW(PLE.lastrow)-ROW(PLE.firstrow))),0,IF(OFFSET(PLE!$G$14,$M62,BC$13)="",10^12,OFFSET(PLE!$G$14,$M62,BC$13))))</f>
        <v>1000000000000</v>
      </c>
      <c r="BD62" s="182">
        <f ca="1">IF($D62&lt;&gt;"Serviço",0,IF(OR(AND(AUTOEVENTO="Manual",$M62=1),$M62&gt;(ROW(PLE.lastrow)-ROW(PLE.firstrow))),0,IF(OFFSET(PLE!$G$14,$M62,BD$13)="",10^12,OFFSET(PLE!$G$14,$M62,BD$13))))</f>
        <v>1000000000000</v>
      </c>
      <c r="BE62" s="182">
        <f ca="1">IF($D62&lt;&gt;"Serviço",0,IF(OR(AND(AUTOEVENTO="Manual",$M62=1),$M62&gt;(ROW(PLE.lastrow)-ROW(PLE.firstrow))),0,IF(OFFSET(PLE!$G$14,$M62,BE$13)="",10^12,OFFSET(PLE!$G$14,$M62,BE$13))))</f>
        <v>1000000000000</v>
      </c>
      <c r="BF62" s="182">
        <f ca="1">IF($D62&lt;&gt;"Serviço",0,IF(OR(AND(AUTOEVENTO="Manual",$M62=1),$M62&gt;(ROW(PLE.lastrow)-ROW(PLE.firstrow))),0,IF(OFFSET(PLE!$G$14,$M62,BF$13)="",10^12,OFFSET(PLE!$G$14,$M62,BF$13))))</f>
        <v>1000000000000</v>
      </c>
      <c r="BG62" s="182">
        <f ca="1">IF($D62&lt;&gt;"Serviço",0,IF(OR(AND(AUTOEVENTO="Manual",$M62=1),$M62&gt;(ROW(PLE.lastrow)-ROW(PLE.firstrow))),0,IF(OFFSET(PLE!$G$14,$M62,BG$13)="",10^12,OFFSET(PLE!$G$14,$M62,BG$13))))</f>
        <v>1000000000000</v>
      </c>
    </row>
    <row r="63" spans="1:59" ht="12.75" x14ac:dyDescent="0.2">
      <c r="A63" s="7" t="str">
        <f t="shared" ca="1" si="8"/>
        <v>45</v>
      </c>
      <c r="B63" s="7" t="str">
        <f ca="1">OFFSET(ORÇAMENTO!C$15,ROW(B63)-ROW(B$15),0)</f>
        <v>S</v>
      </c>
      <c r="C63" s="7" t="str">
        <f ca="1">OFFSET(ORÇAMENTO!L$15,ROW(C63)-ROW(C$15),0)</f>
        <v>F</v>
      </c>
      <c r="D63" s="118" t="str">
        <f ca="1">OFFSET(ORÇAMENTO!N$15,ROW(D63)-ROW(D$15),0)</f>
        <v>Serviço</v>
      </c>
      <c r="E63" s="119" t="str">
        <f ca="1">OFFSET(ORÇAMENTO!O$15,ROW(E63)-ROW(E$15),0)</f>
        <v>2.2.3.</v>
      </c>
      <c r="F63" s="172" t="str">
        <f ca="1">OFFSET(ORÇAMENTO!R$15,ROW(F63)-ROW(F$15),0)</f>
        <v>Auxiliar de topografia</v>
      </c>
      <c r="G63" s="173" t="str">
        <f ca="1">IF($D63&lt;&gt;"Serviço","",OFFSET(ORÇAMENTO!S$15,ROW(G63)-ROW(G$15),0))</f>
        <v>h</v>
      </c>
      <c r="H63" s="124">
        <f ca="1">IF($D63&lt;&gt;"Serviço",0,IF(ACOMPANHAMENTO="BM",ROUND(OFFSET(ORÇAMENTO!AJ$15,ROW(H63)-ROW(H$15),0),15-13*ORÇAMENTO!$AF$7),SUMPRODUCT(($Q$12:$AA$12&lt;&gt;"")*ROUND($Q63:$AA63,15-13*ORÇAMENTO!$AF$7))))</f>
        <v>20</v>
      </c>
      <c r="I63" s="561"/>
      <c r="K63" s="174"/>
      <c r="L63" s="175" t="s">
        <v>255</v>
      </c>
      <c r="M63" s="176">
        <f ca="1">IF($D63&lt;&gt;"Serviço","",IF(AUTOEVENTO="manual",$A63,IF(ISERROR(MATCH($A63,$A$15:OFFSET($A63,-1,0),0)),MAX($M$15:OFFSET(M63,-1,0))+1,INDEX($M$15:OFFSET(M63,-1,0),MATCH($A63,$A$15:OFFSET($A63,-1,0),0)))))</f>
        <v>8</v>
      </c>
      <c r="N63" s="177" t="str">
        <f ca="1">IF($D63&lt;&gt;"Serviço","",IF(AUTOEVENTO="Manual",IF($A63=0,"&lt;-- defina o número do agrupador",OFFSET(EVENTOS!$D$14,$A63,0)),OFFSET($F$15,$A63,0)))</f>
        <v>ADMINISTRAÇÃO LOCAL</v>
      </c>
      <c r="O63" s="178"/>
      <c r="Q63" s="178"/>
      <c r="R63" s="179"/>
      <c r="S63" s="179"/>
      <c r="T63" s="179"/>
      <c r="U63" s="179"/>
      <c r="V63" s="179"/>
      <c r="W63" s="179"/>
      <c r="X63" s="179"/>
      <c r="Y63" s="179"/>
      <c r="Z63" s="180"/>
      <c r="AB63" s="544">
        <f ca="1">IF(AND($D63="Serviço",AB$12&lt;&gt;0,$H63&gt;0,OR(AUTOEVENTO&lt;&gt;"manual",$M63&lt;&gt;1)), IF(Import.TipoArredondamento&lt;&gt;"TransfereGOV", ROUND(OFFSET($P63,0,AB$13),15-13*ORÇAMENTO!$AF$7)/$H63*OFFSET(ORÇAMENTO!$X$15,ROW(AB63)-ROW(AB$15),0), ROUND(ROUND(OFFSET($P63,0,AB$13),15-13*ORÇAMENTO!$AF$7)*OFFSET(ORÇAMENTO!$W$15,ROW(AB63)-ROW(AB$15),0),15-13*ORÇAMENTO!$AF$11)),0)</f>
        <v>0</v>
      </c>
      <c r="AC63" s="545">
        <f ca="1">IF(AND($D63="Serviço",AC$12&lt;&gt;0,$H63&gt;0,OR(AUTOEVENTO&lt;&gt;"manual",$M63&lt;&gt;1)), IF(Import.TipoArredondamento&lt;&gt;"TransfereGOV", ROUND(OFFSET($P63,0,AC$13),15-13*ORÇAMENTO!$AF$7)/$H63*OFFSET(ORÇAMENTO!$X$15,ROW(AC63)-ROW(AC$15),0), ROUND(ROUND(OFFSET($P63,0,AC$13),15-13*ORÇAMENTO!$AF$7)*OFFSET(ORÇAMENTO!$W$15,ROW(AC63)-ROW(AC$15),0),15-13*ORÇAMENTO!$AF$11)),0)</f>
        <v>0</v>
      </c>
      <c r="AD63" s="545">
        <f ca="1">IF(AND($D63="Serviço",AD$12&lt;&gt;0,$H63&gt;0,OR(AUTOEVENTO&lt;&gt;"manual",$M63&lt;&gt;1)), IF(Import.TipoArredondamento&lt;&gt;"TransfereGOV", ROUND(OFFSET($P63,0,AD$13),15-13*ORÇAMENTO!$AF$7)/$H63*OFFSET(ORÇAMENTO!$X$15,ROW(AD63)-ROW(AD$15),0), ROUND(ROUND(OFFSET($P63,0,AD$13),15-13*ORÇAMENTO!$AF$7)*OFFSET(ORÇAMENTO!$W$15,ROW(AD63)-ROW(AD$15),0),15-13*ORÇAMENTO!$AF$11)),0)</f>
        <v>0</v>
      </c>
      <c r="AE63" s="545">
        <f ca="1">IF(AND($D63="Serviço",AE$12&lt;&gt;0,$H63&gt;0,OR(AUTOEVENTO&lt;&gt;"manual",$M63&lt;&gt;1)), IF(Import.TipoArredondamento&lt;&gt;"TransfereGOV", ROUND(OFFSET($P63,0,AE$13),15-13*ORÇAMENTO!$AF$7)/$H63*OFFSET(ORÇAMENTO!$X$15,ROW(AE63)-ROW(AE$15),0), ROUND(ROUND(OFFSET($P63,0,AE$13),15-13*ORÇAMENTO!$AF$7)*OFFSET(ORÇAMENTO!$W$15,ROW(AE63)-ROW(AE$15),0),15-13*ORÇAMENTO!$AF$11)),0)</f>
        <v>0</v>
      </c>
      <c r="AF63" s="545">
        <f ca="1">IF(AND($D63="Serviço",AF$12&lt;&gt;0,$H63&gt;0,OR(AUTOEVENTO&lt;&gt;"manual",$M63&lt;&gt;1)), IF(Import.TipoArredondamento&lt;&gt;"TransfereGOV", ROUND(OFFSET($P63,0,AF$13),15-13*ORÇAMENTO!$AF$7)/$H63*OFFSET(ORÇAMENTO!$X$15,ROW(AF63)-ROW(AF$15),0), ROUND(ROUND(OFFSET($P63,0,AF$13),15-13*ORÇAMENTO!$AF$7)*OFFSET(ORÇAMENTO!$W$15,ROW(AF63)-ROW(AF$15),0),15-13*ORÇAMENTO!$AF$11)),0)</f>
        <v>0</v>
      </c>
      <c r="AG63" s="545">
        <f ca="1">IF(AND($D63="Serviço",AG$12&lt;&gt;0,$H63&gt;0,OR(AUTOEVENTO&lt;&gt;"manual",$M63&lt;&gt;1)), IF(Import.TipoArredondamento&lt;&gt;"TransfereGOV", ROUND(OFFSET($P63,0,AG$13),15-13*ORÇAMENTO!$AF$7)/$H63*OFFSET(ORÇAMENTO!$X$15,ROW(AG63)-ROW(AG$15),0), ROUND(ROUND(OFFSET($P63,0,AG$13),15-13*ORÇAMENTO!$AF$7)*OFFSET(ORÇAMENTO!$W$15,ROW(AG63)-ROW(AG$15),0),15-13*ORÇAMENTO!$AF$11)),0)</f>
        <v>0</v>
      </c>
      <c r="AH63" s="545">
        <f ca="1">IF(AND($D63="Serviço",AH$12&lt;&gt;0,$H63&gt;0,OR(AUTOEVENTO&lt;&gt;"manual",$M63&lt;&gt;1)), IF(Import.TipoArredondamento&lt;&gt;"TransfereGOV", ROUND(OFFSET($P63,0,AH$13),15-13*ORÇAMENTO!$AF$7)/$H63*OFFSET(ORÇAMENTO!$X$15,ROW(AH63)-ROW(AH$15),0), ROUND(ROUND(OFFSET($P63,0,AH$13),15-13*ORÇAMENTO!$AF$7)*OFFSET(ORÇAMENTO!$W$15,ROW(AH63)-ROW(AH$15),0),15-13*ORÇAMENTO!$AF$11)),0)</f>
        <v>0</v>
      </c>
      <c r="AI63" s="545">
        <f ca="1">IF(AND($D63="Serviço",AI$12&lt;&gt;0,$H63&gt;0,OR(AUTOEVENTO&lt;&gt;"manual",$M63&lt;&gt;1)), IF(Import.TipoArredondamento&lt;&gt;"TransfereGOV", ROUND(OFFSET($P63,0,AI$13),15-13*ORÇAMENTO!$AF$7)/$H63*OFFSET(ORÇAMENTO!$X$15,ROW(AI63)-ROW(AI$15),0), ROUND(ROUND(OFFSET($P63,0,AI$13),15-13*ORÇAMENTO!$AF$7)*OFFSET(ORÇAMENTO!$W$15,ROW(AI63)-ROW(AI$15),0),15-13*ORÇAMENTO!$AF$11)),0)</f>
        <v>0</v>
      </c>
      <c r="AJ63" s="545">
        <f ca="1">IF(AND($D63="Serviço",AJ$12&lt;&gt;0,$H63&gt;0,OR(AUTOEVENTO&lt;&gt;"manual",$M63&lt;&gt;1)), IF(Import.TipoArredondamento&lt;&gt;"TransfereGOV", ROUND(OFFSET($P63,0,AJ$13),15-13*ORÇAMENTO!$AF$7)/$H63*OFFSET(ORÇAMENTO!$X$15,ROW(AJ63)-ROW(AJ$15),0), ROUND(ROUND(OFFSET($P63,0,AJ$13),15-13*ORÇAMENTO!$AF$7)*OFFSET(ORÇAMENTO!$W$15,ROW(AJ63)-ROW(AJ$15),0),15-13*ORÇAMENTO!$AF$11)),0)</f>
        <v>0</v>
      </c>
      <c r="AK63" s="546">
        <f ca="1">IF(AND($D63="Serviço",AK$12&lt;&gt;0,$H63&gt;0,OR(AUTOEVENTO&lt;&gt;"manual",$M63&lt;&gt;1)), IF(Import.TipoArredondamento&lt;&gt;"TransfereGOV", ROUND(OFFSET($P63,0,AK$13),15-13*ORÇAMENTO!$AF$7)/$H63*OFFSET(ORÇAMENTO!$X$15,ROW(AK63)-ROW(AK$15),0), ROUND(ROUND(OFFSET($P63,0,AK$13),15-13*ORÇAMENTO!$AF$7)*OFFSET(ORÇAMENTO!$W$15,ROW(AK63)-ROW(AK$15),0),15-13*ORÇAMENTO!$AF$11)),0)</f>
        <v>0</v>
      </c>
      <c r="AM63" s="181">
        <f ca="1">IF($D63&lt;&gt;"Serviço",0,IF(AND(AUTOEVENTO="Manual",$M63=1),0,IF(OFFSET(CRONOPLE!$F$14,$M63,AM$13)="",10^12,OFFSET(CRONOPLE!$F$14,$M63,AM$13))))</f>
        <v>1000000000000</v>
      </c>
      <c r="AN63" s="181">
        <f ca="1">IF($D63&lt;&gt;"Serviço",0,IF(AND(AUTOEVENTO="Manual",$M63=1),0,IF(OFFSET(CRONOPLE!$F$14,$M63,AN$13)="",10^12,OFFSET(CRONOPLE!$F$14,$M63,AN$13))))</f>
        <v>1000000000000</v>
      </c>
      <c r="AO63" s="181">
        <f ca="1">IF($D63&lt;&gt;"Serviço",0,IF(AND(AUTOEVENTO="Manual",$M63=1),0,IF(OFFSET(CRONOPLE!$F$14,$M63,AO$13)="",10^12,OFFSET(CRONOPLE!$F$14,$M63,AO$13))))</f>
        <v>1000000000000</v>
      </c>
      <c r="AP63" s="181">
        <f ca="1">IF($D63&lt;&gt;"Serviço",0,IF(AND(AUTOEVENTO="Manual",$M63=1),0,IF(OFFSET(CRONOPLE!$F$14,$M63,AP$13)="",10^12,OFFSET(CRONOPLE!$F$14,$M63,AP$13))))</f>
        <v>1000000000000</v>
      </c>
      <c r="AQ63" s="181">
        <f ca="1">IF($D63&lt;&gt;"Serviço",0,IF(AND(AUTOEVENTO="Manual",$M63=1),0,IF(OFFSET(CRONOPLE!$F$14,$M63,AQ$13)="",10^12,OFFSET(CRONOPLE!$F$14,$M63,AQ$13))))</f>
        <v>1000000000000</v>
      </c>
      <c r="AR63" s="181">
        <f ca="1">IF($D63&lt;&gt;"Serviço",0,IF(AND(AUTOEVENTO="Manual",$M63=1),0,IF(OFFSET(CRONOPLE!$F$14,$M63,AR$13)="",10^12,OFFSET(CRONOPLE!$F$14,$M63,AR$13))))</f>
        <v>1000000000000</v>
      </c>
      <c r="AS63" s="181">
        <f ca="1">IF($D63&lt;&gt;"Serviço",0,IF(AND(AUTOEVENTO="Manual",$M63=1),0,IF(OFFSET(CRONOPLE!$F$14,$M63,AS$13)="",10^12,OFFSET(CRONOPLE!$F$14,$M63,AS$13))))</f>
        <v>1000000000000</v>
      </c>
      <c r="AT63" s="181">
        <f ca="1">IF($D63&lt;&gt;"Serviço",0,IF(AND(AUTOEVENTO="Manual",$M63=1),0,IF(OFFSET(CRONOPLE!$F$14,$M63,AT$13)="",10^12,OFFSET(CRONOPLE!$F$14,$M63,AT$13))))</f>
        <v>1000000000000</v>
      </c>
      <c r="AU63" s="181">
        <f ca="1">IF($D63&lt;&gt;"Serviço",0,IF(AND(AUTOEVENTO="Manual",$M63=1),0,IF(OFFSET(CRONOPLE!$F$14,$M63,AU$13)="",10^12,OFFSET(CRONOPLE!$F$14,$M63,AU$13))))</f>
        <v>1000000000000</v>
      </c>
      <c r="AV63" s="181">
        <f ca="1">IF($D63&lt;&gt;"Serviço",0,IF(AND(AUTOEVENTO="Manual",$M63=1),0,IF(OFFSET(CRONOPLE!$F$14,$M63,AV$13)="",10^12,OFFSET(CRONOPLE!$F$14,$M63,AV$13))))</f>
        <v>1000000000000</v>
      </c>
      <c r="AX63" s="182">
        <f ca="1">IF($D63&lt;&gt;"Serviço",0,IF(OR(AND(AUTOEVENTO="Manual",$M63=1),$M63&gt;(ROW(PLE.lastrow)-ROW(PLE.firstrow))),0,IF(OFFSET(PLE!$G$14,$M63,AX$13)="",10^12,OFFSET(PLE!$G$14,$M63,AX$13))))</f>
        <v>1000000000000</v>
      </c>
      <c r="AY63" s="182">
        <f ca="1">IF($D63&lt;&gt;"Serviço",0,IF(OR(AND(AUTOEVENTO="Manual",$M63=1),$M63&gt;(ROW(PLE.lastrow)-ROW(PLE.firstrow))),0,IF(OFFSET(PLE!$G$14,$M63,AY$13)="",10^12,OFFSET(PLE!$G$14,$M63,AY$13))))</f>
        <v>1000000000000</v>
      </c>
      <c r="AZ63" s="182">
        <f ca="1">IF($D63&lt;&gt;"Serviço",0,IF(OR(AND(AUTOEVENTO="Manual",$M63=1),$M63&gt;(ROW(PLE.lastrow)-ROW(PLE.firstrow))),0,IF(OFFSET(PLE!$G$14,$M63,AZ$13)="",10^12,OFFSET(PLE!$G$14,$M63,AZ$13))))</f>
        <v>1000000000000</v>
      </c>
      <c r="BA63" s="182">
        <f ca="1">IF($D63&lt;&gt;"Serviço",0,IF(OR(AND(AUTOEVENTO="Manual",$M63=1),$M63&gt;(ROW(PLE.lastrow)-ROW(PLE.firstrow))),0,IF(OFFSET(PLE!$G$14,$M63,BA$13)="",10^12,OFFSET(PLE!$G$14,$M63,BA$13))))</f>
        <v>1000000000000</v>
      </c>
      <c r="BB63" s="182">
        <f ca="1">IF($D63&lt;&gt;"Serviço",0,IF(OR(AND(AUTOEVENTO="Manual",$M63=1),$M63&gt;(ROW(PLE.lastrow)-ROW(PLE.firstrow))),0,IF(OFFSET(PLE!$G$14,$M63,BB$13)="",10^12,OFFSET(PLE!$G$14,$M63,BB$13))))</f>
        <v>1000000000000</v>
      </c>
      <c r="BC63" s="182">
        <f ca="1">IF($D63&lt;&gt;"Serviço",0,IF(OR(AND(AUTOEVENTO="Manual",$M63=1),$M63&gt;(ROW(PLE.lastrow)-ROW(PLE.firstrow))),0,IF(OFFSET(PLE!$G$14,$M63,BC$13)="",10^12,OFFSET(PLE!$G$14,$M63,BC$13))))</f>
        <v>1000000000000</v>
      </c>
      <c r="BD63" s="182">
        <f ca="1">IF($D63&lt;&gt;"Serviço",0,IF(OR(AND(AUTOEVENTO="Manual",$M63=1),$M63&gt;(ROW(PLE.lastrow)-ROW(PLE.firstrow))),0,IF(OFFSET(PLE!$G$14,$M63,BD$13)="",10^12,OFFSET(PLE!$G$14,$M63,BD$13))))</f>
        <v>1000000000000</v>
      </c>
      <c r="BE63" s="182">
        <f ca="1">IF($D63&lt;&gt;"Serviço",0,IF(OR(AND(AUTOEVENTO="Manual",$M63=1),$M63&gt;(ROW(PLE.lastrow)-ROW(PLE.firstrow))),0,IF(OFFSET(PLE!$G$14,$M63,BE$13)="",10^12,OFFSET(PLE!$G$14,$M63,BE$13))))</f>
        <v>1000000000000</v>
      </c>
      <c r="BF63" s="182">
        <f ca="1">IF($D63&lt;&gt;"Serviço",0,IF(OR(AND(AUTOEVENTO="Manual",$M63=1),$M63&gt;(ROW(PLE.lastrow)-ROW(PLE.firstrow))),0,IF(OFFSET(PLE!$G$14,$M63,BF$13)="",10^12,OFFSET(PLE!$G$14,$M63,BF$13))))</f>
        <v>1000000000000</v>
      </c>
      <c r="BG63" s="182">
        <f ca="1">IF($D63&lt;&gt;"Serviço",0,IF(OR(AND(AUTOEVENTO="Manual",$M63=1),$M63&gt;(ROW(PLE.lastrow)-ROW(PLE.firstrow))),0,IF(OFFSET(PLE!$G$14,$M63,BG$13)="",10^12,OFFSET(PLE!$G$14,$M63,BG$13))))</f>
        <v>1000000000000</v>
      </c>
    </row>
    <row r="64" spans="1:59" ht="12.75" x14ac:dyDescent="0.2">
      <c r="A64" s="7" t="str">
        <f t="shared" ca="1" si="8"/>
        <v>49.</v>
      </c>
      <c r="B64" s="7">
        <f ca="1">OFFSET(ORÇAMENTO!C$15,ROW(B64)-ROW(B$15),0)</f>
        <v>2</v>
      </c>
      <c r="C64" s="7" t="str">
        <f ca="1">OFFSET(ORÇAMENTO!L$15,ROW(C64)-ROW(C$15),0)</f>
        <v>F</v>
      </c>
      <c r="D64" s="118" t="str">
        <f ca="1">OFFSET(ORÇAMENTO!N$15,ROW(D64)-ROW(D$15),0)</f>
        <v>Nível 2</v>
      </c>
      <c r="E64" s="119" t="str">
        <f ca="1">OFFSET(ORÇAMENTO!O$15,ROW(E64)-ROW(E$15),0)</f>
        <v>2.3.</v>
      </c>
      <c r="F64" s="172" t="str">
        <f ca="1">OFFSET(ORÇAMENTO!R$15,ROW(F64)-ROW(F$15),0)</f>
        <v>DRENAGEM PLUVIAL</v>
      </c>
      <c r="G64" s="173" t="str">
        <f ca="1">IF($D64&lt;&gt;"Serviço","",OFFSET(ORÇAMENTO!S$15,ROW(G64)-ROW(G$15),0))</f>
        <v/>
      </c>
      <c r="H64" s="124">
        <f ca="1">IF($D64&lt;&gt;"Serviço",0,IF(ACOMPANHAMENTO="BM",ROUND(OFFSET(ORÇAMENTO!AJ$15,ROW(H64)-ROW(H$15),0),15-13*ORÇAMENTO!$AF$7),SUMPRODUCT(($Q$12:$AA$12&lt;&gt;"")*ROUND($Q64:$AA64,15-13*ORÇAMENTO!$AF$7))))</f>
        <v>0</v>
      </c>
      <c r="I64" s="561"/>
      <c r="K64" s="174"/>
      <c r="L64" s="175" t="s">
        <v>255</v>
      </c>
      <c r="M64" s="176" t="str">
        <f ca="1">IF($D64&lt;&gt;"Serviço","",IF(AUTOEVENTO="manual",$A64,IF(ISERROR(MATCH($A64,$A$15:OFFSET($A64,-1,0),0)),MAX($M$15:OFFSET(M64,-1,0))+1,INDEX($M$15:OFFSET(M64,-1,0),MATCH($A64,$A$15:OFFSET($A64,-1,0),0)))))</f>
        <v/>
      </c>
      <c r="N64" s="177" t="str">
        <f ca="1">IF($D64&lt;&gt;"Serviço","",IF(AUTOEVENTO="Manual",IF($A64=0,"&lt;-- defina o número do agrupador",OFFSET(EVENTOS!$D$14,$A64,0)),OFFSET($F$15,$A64,0)))</f>
        <v/>
      </c>
      <c r="O64" s="178"/>
      <c r="Q64" s="178"/>
      <c r="R64" s="179"/>
      <c r="S64" s="179"/>
      <c r="T64" s="179"/>
      <c r="U64" s="179"/>
      <c r="V64" s="179"/>
      <c r="W64" s="179"/>
      <c r="X64" s="179"/>
      <c r="Y64" s="179"/>
      <c r="Z64" s="180"/>
      <c r="AB64" s="544">
        <f ca="1">IF(AND($D64="Serviço",AB$12&lt;&gt;0,$H64&gt;0,OR(AUTOEVENTO&lt;&gt;"manual",$M64&lt;&gt;1)), IF(Import.TipoArredondamento&lt;&gt;"TransfereGOV", ROUND(OFFSET($P64,0,AB$13),15-13*ORÇAMENTO!$AF$7)/$H64*OFFSET(ORÇAMENTO!$X$15,ROW(AB64)-ROW(AB$15),0), ROUND(ROUND(OFFSET($P64,0,AB$13),15-13*ORÇAMENTO!$AF$7)*OFFSET(ORÇAMENTO!$W$15,ROW(AB64)-ROW(AB$15),0),15-13*ORÇAMENTO!$AF$11)),0)</f>
        <v>0</v>
      </c>
      <c r="AC64" s="545">
        <f ca="1">IF(AND($D64="Serviço",AC$12&lt;&gt;0,$H64&gt;0,OR(AUTOEVENTO&lt;&gt;"manual",$M64&lt;&gt;1)), IF(Import.TipoArredondamento&lt;&gt;"TransfereGOV", ROUND(OFFSET($P64,0,AC$13),15-13*ORÇAMENTO!$AF$7)/$H64*OFFSET(ORÇAMENTO!$X$15,ROW(AC64)-ROW(AC$15),0), ROUND(ROUND(OFFSET($P64,0,AC$13),15-13*ORÇAMENTO!$AF$7)*OFFSET(ORÇAMENTO!$W$15,ROW(AC64)-ROW(AC$15),0),15-13*ORÇAMENTO!$AF$11)),0)</f>
        <v>0</v>
      </c>
      <c r="AD64" s="545">
        <f ca="1">IF(AND($D64="Serviço",AD$12&lt;&gt;0,$H64&gt;0,OR(AUTOEVENTO&lt;&gt;"manual",$M64&lt;&gt;1)), IF(Import.TipoArredondamento&lt;&gt;"TransfereGOV", ROUND(OFFSET($P64,0,AD$13),15-13*ORÇAMENTO!$AF$7)/$H64*OFFSET(ORÇAMENTO!$X$15,ROW(AD64)-ROW(AD$15),0), ROUND(ROUND(OFFSET($P64,0,AD$13),15-13*ORÇAMENTO!$AF$7)*OFFSET(ORÇAMENTO!$W$15,ROW(AD64)-ROW(AD$15),0),15-13*ORÇAMENTO!$AF$11)),0)</f>
        <v>0</v>
      </c>
      <c r="AE64" s="545">
        <f ca="1">IF(AND($D64="Serviço",AE$12&lt;&gt;0,$H64&gt;0,OR(AUTOEVENTO&lt;&gt;"manual",$M64&lt;&gt;1)), IF(Import.TipoArredondamento&lt;&gt;"TransfereGOV", ROUND(OFFSET($P64,0,AE$13),15-13*ORÇAMENTO!$AF$7)/$H64*OFFSET(ORÇAMENTO!$X$15,ROW(AE64)-ROW(AE$15),0), ROUND(ROUND(OFFSET($P64,0,AE$13),15-13*ORÇAMENTO!$AF$7)*OFFSET(ORÇAMENTO!$W$15,ROW(AE64)-ROW(AE$15),0),15-13*ORÇAMENTO!$AF$11)),0)</f>
        <v>0</v>
      </c>
      <c r="AF64" s="545">
        <f ca="1">IF(AND($D64="Serviço",AF$12&lt;&gt;0,$H64&gt;0,OR(AUTOEVENTO&lt;&gt;"manual",$M64&lt;&gt;1)), IF(Import.TipoArredondamento&lt;&gt;"TransfereGOV", ROUND(OFFSET($P64,0,AF$13),15-13*ORÇAMENTO!$AF$7)/$H64*OFFSET(ORÇAMENTO!$X$15,ROW(AF64)-ROW(AF$15),0), ROUND(ROUND(OFFSET($P64,0,AF$13),15-13*ORÇAMENTO!$AF$7)*OFFSET(ORÇAMENTO!$W$15,ROW(AF64)-ROW(AF$15),0),15-13*ORÇAMENTO!$AF$11)),0)</f>
        <v>0</v>
      </c>
      <c r="AG64" s="545">
        <f ca="1">IF(AND($D64="Serviço",AG$12&lt;&gt;0,$H64&gt;0,OR(AUTOEVENTO&lt;&gt;"manual",$M64&lt;&gt;1)), IF(Import.TipoArredondamento&lt;&gt;"TransfereGOV", ROUND(OFFSET($P64,0,AG$13),15-13*ORÇAMENTO!$AF$7)/$H64*OFFSET(ORÇAMENTO!$X$15,ROW(AG64)-ROW(AG$15),0), ROUND(ROUND(OFFSET($P64,0,AG$13),15-13*ORÇAMENTO!$AF$7)*OFFSET(ORÇAMENTO!$W$15,ROW(AG64)-ROW(AG$15),0),15-13*ORÇAMENTO!$AF$11)),0)</f>
        <v>0</v>
      </c>
      <c r="AH64" s="545">
        <f ca="1">IF(AND($D64="Serviço",AH$12&lt;&gt;0,$H64&gt;0,OR(AUTOEVENTO&lt;&gt;"manual",$M64&lt;&gt;1)), IF(Import.TipoArredondamento&lt;&gt;"TransfereGOV", ROUND(OFFSET($P64,0,AH$13),15-13*ORÇAMENTO!$AF$7)/$H64*OFFSET(ORÇAMENTO!$X$15,ROW(AH64)-ROW(AH$15),0), ROUND(ROUND(OFFSET($P64,0,AH$13),15-13*ORÇAMENTO!$AF$7)*OFFSET(ORÇAMENTO!$W$15,ROW(AH64)-ROW(AH$15),0),15-13*ORÇAMENTO!$AF$11)),0)</f>
        <v>0</v>
      </c>
      <c r="AI64" s="545">
        <f ca="1">IF(AND($D64="Serviço",AI$12&lt;&gt;0,$H64&gt;0,OR(AUTOEVENTO&lt;&gt;"manual",$M64&lt;&gt;1)), IF(Import.TipoArredondamento&lt;&gt;"TransfereGOV", ROUND(OFFSET($P64,0,AI$13),15-13*ORÇAMENTO!$AF$7)/$H64*OFFSET(ORÇAMENTO!$X$15,ROW(AI64)-ROW(AI$15),0), ROUND(ROUND(OFFSET($P64,0,AI$13),15-13*ORÇAMENTO!$AF$7)*OFFSET(ORÇAMENTO!$W$15,ROW(AI64)-ROW(AI$15),0),15-13*ORÇAMENTO!$AF$11)),0)</f>
        <v>0</v>
      </c>
      <c r="AJ64" s="545">
        <f ca="1">IF(AND($D64="Serviço",AJ$12&lt;&gt;0,$H64&gt;0,OR(AUTOEVENTO&lt;&gt;"manual",$M64&lt;&gt;1)), IF(Import.TipoArredondamento&lt;&gt;"TransfereGOV", ROUND(OFFSET($P64,0,AJ$13),15-13*ORÇAMENTO!$AF$7)/$H64*OFFSET(ORÇAMENTO!$X$15,ROW(AJ64)-ROW(AJ$15),0), ROUND(ROUND(OFFSET($P64,0,AJ$13),15-13*ORÇAMENTO!$AF$7)*OFFSET(ORÇAMENTO!$W$15,ROW(AJ64)-ROW(AJ$15),0),15-13*ORÇAMENTO!$AF$11)),0)</f>
        <v>0</v>
      </c>
      <c r="AK64" s="546">
        <f ca="1">IF(AND($D64="Serviço",AK$12&lt;&gt;0,$H64&gt;0,OR(AUTOEVENTO&lt;&gt;"manual",$M64&lt;&gt;1)), IF(Import.TipoArredondamento&lt;&gt;"TransfereGOV", ROUND(OFFSET($P64,0,AK$13),15-13*ORÇAMENTO!$AF$7)/$H64*OFFSET(ORÇAMENTO!$X$15,ROW(AK64)-ROW(AK$15),0), ROUND(ROUND(OFFSET($P64,0,AK$13),15-13*ORÇAMENTO!$AF$7)*OFFSET(ORÇAMENTO!$W$15,ROW(AK64)-ROW(AK$15),0),15-13*ORÇAMENTO!$AF$11)),0)</f>
        <v>0</v>
      </c>
      <c r="AM64" s="181">
        <f ca="1">IF($D64&lt;&gt;"Serviço",0,IF(AND(AUTOEVENTO="Manual",$M64=1),0,IF(OFFSET(CRONOPLE!$F$14,$M64,AM$13)="",10^12,OFFSET(CRONOPLE!$F$14,$M64,AM$13))))</f>
        <v>0</v>
      </c>
      <c r="AN64" s="181">
        <f ca="1">IF($D64&lt;&gt;"Serviço",0,IF(AND(AUTOEVENTO="Manual",$M64=1),0,IF(OFFSET(CRONOPLE!$F$14,$M64,AN$13)="",10^12,OFFSET(CRONOPLE!$F$14,$M64,AN$13))))</f>
        <v>0</v>
      </c>
      <c r="AO64" s="181">
        <f ca="1">IF($D64&lt;&gt;"Serviço",0,IF(AND(AUTOEVENTO="Manual",$M64=1),0,IF(OFFSET(CRONOPLE!$F$14,$M64,AO$13)="",10^12,OFFSET(CRONOPLE!$F$14,$M64,AO$13))))</f>
        <v>0</v>
      </c>
      <c r="AP64" s="181">
        <f ca="1">IF($D64&lt;&gt;"Serviço",0,IF(AND(AUTOEVENTO="Manual",$M64=1),0,IF(OFFSET(CRONOPLE!$F$14,$M64,AP$13)="",10^12,OFFSET(CRONOPLE!$F$14,$M64,AP$13))))</f>
        <v>0</v>
      </c>
      <c r="AQ64" s="181">
        <f ca="1">IF($D64&lt;&gt;"Serviço",0,IF(AND(AUTOEVENTO="Manual",$M64=1),0,IF(OFFSET(CRONOPLE!$F$14,$M64,AQ$13)="",10^12,OFFSET(CRONOPLE!$F$14,$M64,AQ$13))))</f>
        <v>0</v>
      </c>
      <c r="AR64" s="181">
        <f ca="1">IF($D64&lt;&gt;"Serviço",0,IF(AND(AUTOEVENTO="Manual",$M64=1),0,IF(OFFSET(CRONOPLE!$F$14,$M64,AR$13)="",10^12,OFFSET(CRONOPLE!$F$14,$M64,AR$13))))</f>
        <v>0</v>
      </c>
      <c r="AS64" s="181">
        <f ca="1">IF($D64&lt;&gt;"Serviço",0,IF(AND(AUTOEVENTO="Manual",$M64=1),0,IF(OFFSET(CRONOPLE!$F$14,$M64,AS$13)="",10^12,OFFSET(CRONOPLE!$F$14,$M64,AS$13))))</f>
        <v>0</v>
      </c>
      <c r="AT64" s="181">
        <f ca="1">IF($D64&lt;&gt;"Serviço",0,IF(AND(AUTOEVENTO="Manual",$M64=1),0,IF(OFFSET(CRONOPLE!$F$14,$M64,AT$13)="",10^12,OFFSET(CRONOPLE!$F$14,$M64,AT$13))))</f>
        <v>0</v>
      </c>
      <c r="AU64" s="181">
        <f ca="1">IF($D64&lt;&gt;"Serviço",0,IF(AND(AUTOEVENTO="Manual",$M64=1),0,IF(OFFSET(CRONOPLE!$F$14,$M64,AU$13)="",10^12,OFFSET(CRONOPLE!$F$14,$M64,AU$13))))</f>
        <v>0</v>
      </c>
      <c r="AV64" s="181">
        <f ca="1">IF($D64&lt;&gt;"Serviço",0,IF(AND(AUTOEVENTO="Manual",$M64=1),0,IF(OFFSET(CRONOPLE!$F$14,$M64,AV$13)="",10^12,OFFSET(CRONOPLE!$F$14,$M64,AV$13))))</f>
        <v>0</v>
      </c>
      <c r="AX64" s="182">
        <f ca="1">IF($D64&lt;&gt;"Serviço",0,IF(OR(AND(AUTOEVENTO="Manual",$M64=1),$M64&gt;(ROW(PLE.lastrow)-ROW(PLE.firstrow))),0,IF(OFFSET(PLE!$G$14,$M64,AX$13)="",10^12,OFFSET(PLE!$G$14,$M64,AX$13))))</f>
        <v>0</v>
      </c>
      <c r="AY64" s="182">
        <f ca="1">IF($D64&lt;&gt;"Serviço",0,IF(OR(AND(AUTOEVENTO="Manual",$M64=1),$M64&gt;(ROW(PLE.lastrow)-ROW(PLE.firstrow))),0,IF(OFFSET(PLE!$G$14,$M64,AY$13)="",10^12,OFFSET(PLE!$G$14,$M64,AY$13))))</f>
        <v>0</v>
      </c>
      <c r="AZ64" s="182">
        <f ca="1">IF($D64&lt;&gt;"Serviço",0,IF(OR(AND(AUTOEVENTO="Manual",$M64=1),$M64&gt;(ROW(PLE.lastrow)-ROW(PLE.firstrow))),0,IF(OFFSET(PLE!$G$14,$M64,AZ$13)="",10^12,OFFSET(PLE!$G$14,$M64,AZ$13))))</f>
        <v>0</v>
      </c>
      <c r="BA64" s="182">
        <f ca="1">IF($D64&lt;&gt;"Serviço",0,IF(OR(AND(AUTOEVENTO="Manual",$M64=1),$M64&gt;(ROW(PLE.lastrow)-ROW(PLE.firstrow))),0,IF(OFFSET(PLE!$G$14,$M64,BA$13)="",10^12,OFFSET(PLE!$G$14,$M64,BA$13))))</f>
        <v>0</v>
      </c>
      <c r="BB64" s="182">
        <f ca="1">IF($D64&lt;&gt;"Serviço",0,IF(OR(AND(AUTOEVENTO="Manual",$M64=1),$M64&gt;(ROW(PLE.lastrow)-ROW(PLE.firstrow))),0,IF(OFFSET(PLE!$G$14,$M64,BB$13)="",10^12,OFFSET(PLE!$G$14,$M64,BB$13))))</f>
        <v>0</v>
      </c>
      <c r="BC64" s="182">
        <f ca="1">IF($D64&lt;&gt;"Serviço",0,IF(OR(AND(AUTOEVENTO="Manual",$M64=1),$M64&gt;(ROW(PLE.lastrow)-ROW(PLE.firstrow))),0,IF(OFFSET(PLE!$G$14,$M64,BC$13)="",10^12,OFFSET(PLE!$G$14,$M64,BC$13))))</f>
        <v>0</v>
      </c>
      <c r="BD64" s="182">
        <f ca="1">IF($D64&lt;&gt;"Serviço",0,IF(OR(AND(AUTOEVENTO="Manual",$M64=1),$M64&gt;(ROW(PLE.lastrow)-ROW(PLE.firstrow))),0,IF(OFFSET(PLE!$G$14,$M64,BD$13)="",10^12,OFFSET(PLE!$G$14,$M64,BD$13))))</f>
        <v>0</v>
      </c>
      <c r="BE64" s="182">
        <f ca="1">IF($D64&lt;&gt;"Serviço",0,IF(OR(AND(AUTOEVENTO="Manual",$M64=1),$M64&gt;(ROW(PLE.lastrow)-ROW(PLE.firstrow))),0,IF(OFFSET(PLE!$G$14,$M64,BE$13)="",10^12,OFFSET(PLE!$G$14,$M64,BE$13))))</f>
        <v>0</v>
      </c>
      <c r="BF64" s="182">
        <f ca="1">IF($D64&lt;&gt;"Serviço",0,IF(OR(AND(AUTOEVENTO="Manual",$M64=1),$M64&gt;(ROW(PLE.lastrow)-ROW(PLE.firstrow))),0,IF(OFFSET(PLE!$G$14,$M64,BF$13)="",10^12,OFFSET(PLE!$G$14,$M64,BF$13))))</f>
        <v>0</v>
      </c>
      <c r="BG64" s="182">
        <f ca="1">IF($D64&lt;&gt;"Serviço",0,IF(OR(AND(AUTOEVENTO="Manual",$M64=1),$M64&gt;(ROW(PLE.lastrow)-ROW(PLE.firstrow))),0,IF(OFFSET(PLE!$G$14,$M64,BG$13)="",10^12,OFFSET(PLE!$G$14,$M64,BG$13))))</f>
        <v>0</v>
      </c>
    </row>
    <row r="65" spans="1:59" ht="38.25" x14ac:dyDescent="0.2">
      <c r="A65" s="7" t="str">
        <f t="shared" ca="1" si="8"/>
        <v>49</v>
      </c>
      <c r="B65" s="7" t="str">
        <f ca="1">OFFSET(ORÇAMENTO!C$15,ROW(B65)-ROW(B$15),0)</f>
        <v>S</v>
      </c>
      <c r="C65" s="7" t="str">
        <f ca="1">OFFSET(ORÇAMENTO!L$15,ROW(C65)-ROW(C$15),0)</f>
        <v>F</v>
      </c>
      <c r="D65" s="118" t="str">
        <f ca="1">OFFSET(ORÇAMENTO!N$15,ROW(D65)-ROW(D$15),0)</f>
        <v>Serviço</v>
      </c>
      <c r="E65" s="119" t="str">
        <f ca="1">OFFSET(ORÇAMENTO!O$15,ROW(E65)-ROW(E$15),0)</f>
        <v>2.3.1.</v>
      </c>
      <c r="F65" s="172" t="str">
        <f ca="1">OFFSET(ORÇAMENTO!R$15,ROW(F65)-ROW(F$15),0)</f>
        <v>Escavação, carga e transporte de material de 1ª categoria - DMT de 1.000 a 1.200 m - caminho de serviço pavimentado - com escavadeira e caminhão basculante de 14 m³</v>
      </c>
      <c r="G65" s="173" t="str">
        <f ca="1">IF($D65&lt;&gt;"Serviço","",OFFSET(ORÇAMENTO!S$15,ROW(G65)-ROW(G$15),0))</f>
        <v>m³</v>
      </c>
      <c r="H65" s="124">
        <f ca="1">IF($D65&lt;&gt;"Serviço",0,IF(ACOMPANHAMENTO="BM",ROUND(OFFSET(ORÇAMENTO!AJ$15,ROW(H65)-ROW(H$15),0),15-13*ORÇAMENTO!$AF$7),SUMPRODUCT(($Q$12:$AA$12&lt;&gt;"")*ROUND($Q65:$AA65,15-13*ORÇAMENTO!$AF$7))))</f>
        <v>191.16</v>
      </c>
      <c r="I65" s="561"/>
      <c r="K65" s="174"/>
      <c r="L65" s="175" t="s">
        <v>255</v>
      </c>
      <c r="M65" s="176">
        <f ca="1">IF($D65&lt;&gt;"Serviço","",IF(AUTOEVENTO="manual",$A65,IF(ISERROR(MATCH($A65,$A$15:OFFSET($A65,-1,0),0)),MAX($M$15:OFFSET(M65,-1,0))+1,INDEX($M$15:OFFSET(M65,-1,0),MATCH($A65,$A$15:OFFSET($A65,-1,0),0)))))</f>
        <v>9</v>
      </c>
      <c r="N65" s="177" t="str">
        <f ca="1">IF($D65&lt;&gt;"Serviço","",IF(AUTOEVENTO="Manual",IF($A65=0,"&lt;-- defina o número do agrupador",OFFSET(EVENTOS!$D$14,$A65,0)),OFFSET($F$15,$A65,0)))</f>
        <v>DRENAGEM PLUVIAL</v>
      </c>
      <c r="O65" s="178"/>
      <c r="Q65" s="178"/>
      <c r="R65" s="179"/>
      <c r="S65" s="179"/>
      <c r="T65" s="179"/>
      <c r="U65" s="179"/>
      <c r="V65" s="179"/>
      <c r="W65" s="179"/>
      <c r="X65" s="179"/>
      <c r="Y65" s="179"/>
      <c r="Z65" s="180"/>
      <c r="AB65" s="544">
        <f ca="1">IF(AND($D65="Serviço",AB$12&lt;&gt;0,$H65&gt;0,OR(AUTOEVENTO&lt;&gt;"manual",$M65&lt;&gt;1)), IF(Import.TipoArredondamento&lt;&gt;"TransfereGOV", ROUND(OFFSET($P65,0,AB$13),15-13*ORÇAMENTO!$AF$7)/$H65*OFFSET(ORÇAMENTO!$X$15,ROW(AB65)-ROW(AB$15),0), ROUND(ROUND(OFFSET($P65,0,AB$13),15-13*ORÇAMENTO!$AF$7)*OFFSET(ORÇAMENTO!$W$15,ROW(AB65)-ROW(AB$15),0),15-13*ORÇAMENTO!$AF$11)),0)</f>
        <v>0</v>
      </c>
      <c r="AC65" s="545">
        <f ca="1">IF(AND($D65="Serviço",AC$12&lt;&gt;0,$H65&gt;0,OR(AUTOEVENTO&lt;&gt;"manual",$M65&lt;&gt;1)), IF(Import.TipoArredondamento&lt;&gt;"TransfereGOV", ROUND(OFFSET($P65,0,AC$13),15-13*ORÇAMENTO!$AF$7)/$H65*OFFSET(ORÇAMENTO!$X$15,ROW(AC65)-ROW(AC$15),0), ROUND(ROUND(OFFSET($P65,0,AC$13),15-13*ORÇAMENTO!$AF$7)*OFFSET(ORÇAMENTO!$W$15,ROW(AC65)-ROW(AC$15),0),15-13*ORÇAMENTO!$AF$11)),0)</f>
        <v>0</v>
      </c>
      <c r="AD65" s="545">
        <f ca="1">IF(AND($D65="Serviço",AD$12&lt;&gt;0,$H65&gt;0,OR(AUTOEVENTO&lt;&gt;"manual",$M65&lt;&gt;1)), IF(Import.TipoArredondamento&lt;&gt;"TransfereGOV", ROUND(OFFSET($P65,0,AD$13),15-13*ORÇAMENTO!$AF$7)/$H65*OFFSET(ORÇAMENTO!$X$15,ROW(AD65)-ROW(AD$15),0), ROUND(ROUND(OFFSET($P65,0,AD$13),15-13*ORÇAMENTO!$AF$7)*OFFSET(ORÇAMENTO!$W$15,ROW(AD65)-ROW(AD$15),0),15-13*ORÇAMENTO!$AF$11)),0)</f>
        <v>0</v>
      </c>
      <c r="AE65" s="545">
        <f ca="1">IF(AND($D65="Serviço",AE$12&lt;&gt;0,$H65&gt;0,OR(AUTOEVENTO&lt;&gt;"manual",$M65&lt;&gt;1)), IF(Import.TipoArredondamento&lt;&gt;"TransfereGOV", ROUND(OFFSET($P65,0,AE$13),15-13*ORÇAMENTO!$AF$7)/$H65*OFFSET(ORÇAMENTO!$X$15,ROW(AE65)-ROW(AE$15),0), ROUND(ROUND(OFFSET($P65,0,AE$13),15-13*ORÇAMENTO!$AF$7)*OFFSET(ORÇAMENTO!$W$15,ROW(AE65)-ROW(AE$15),0),15-13*ORÇAMENTO!$AF$11)),0)</f>
        <v>0</v>
      </c>
      <c r="AF65" s="545">
        <f ca="1">IF(AND($D65="Serviço",AF$12&lt;&gt;0,$H65&gt;0,OR(AUTOEVENTO&lt;&gt;"manual",$M65&lt;&gt;1)), IF(Import.TipoArredondamento&lt;&gt;"TransfereGOV", ROUND(OFFSET($P65,0,AF$13),15-13*ORÇAMENTO!$AF$7)/$H65*OFFSET(ORÇAMENTO!$X$15,ROW(AF65)-ROW(AF$15),0), ROUND(ROUND(OFFSET($P65,0,AF$13),15-13*ORÇAMENTO!$AF$7)*OFFSET(ORÇAMENTO!$W$15,ROW(AF65)-ROW(AF$15),0),15-13*ORÇAMENTO!$AF$11)),0)</f>
        <v>0</v>
      </c>
      <c r="AG65" s="545">
        <f ca="1">IF(AND($D65="Serviço",AG$12&lt;&gt;0,$H65&gt;0,OR(AUTOEVENTO&lt;&gt;"manual",$M65&lt;&gt;1)), IF(Import.TipoArredondamento&lt;&gt;"TransfereGOV", ROUND(OFFSET($P65,0,AG$13),15-13*ORÇAMENTO!$AF$7)/$H65*OFFSET(ORÇAMENTO!$X$15,ROW(AG65)-ROW(AG$15),0), ROUND(ROUND(OFFSET($P65,0,AG$13),15-13*ORÇAMENTO!$AF$7)*OFFSET(ORÇAMENTO!$W$15,ROW(AG65)-ROW(AG$15),0),15-13*ORÇAMENTO!$AF$11)),0)</f>
        <v>0</v>
      </c>
      <c r="AH65" s="545">
        <f ca="1">IF(AND($D65="Serviço",AH$12&lt;&gt;0,$H65&gt;0,OR(AUTOEVENTO&lt;&gt;"manual",$M65&lt;&gt;1)), IF(Import.TipoArredondamento&lt;&gt;"TransfereGOV", ROUND(OFFSET($P65,0,AH$13),15-13*ORÇAMENTO!$AF$7)/$H65*OFFSET(ORÇAMENTO!$X$15,ROW(AH65)-ROW(AH$15),0), ROUND(ROUND(OFFSET($P65,0,AH$13),15-13*ORÇAMENTO!$AF$7)*OFFSET(ORÇAMENTO!$W$15,ROW(AH65)-ROW(AH$15),0),15-13*ORÇAMENTO!$AF$11)),0)</f>
        <v>0</v>
      </c>
      <c r="AI65" s="545">
        <f ca="1">IF(AND($D65="Serviço",AI$12&lt;&gt;0,$H65&gt;0,OR(AUTOEVENTO&lt;&gt;"manual",$M65&lt;&gt;1)), IF(Import.TipoArredondamento&lt;&gt;"TransfereGOV", ROUND(OFFSET($P65,0,AI$13),15-13*ORÇAMENTO!$AF$7)/$H65*OFFSET(ORÇAMENTO!$X$15,ROW(AI65)-ROW(AI$15),0), ROUND(ROUND(OFFSET($P65,0,AI$13),15-13*ORÇAMENTO!$AF$7)*OFFSET(ORÇAMENTO!$W$15,ROW(AI65)-ROW(AI$15),0),15-13*ORÇAMENTO!$AF$11)),0)</f>
        <v>0</v>
      </c>
      <c r="AJ65" s="545">
        <f ca="1">IF(AND($D65="Serviço",AJ$12&lt;&gt;0,$H65&gt;0,OR(AUTOEVENTO&lt;&gt;"manual",$M65&lt;&gt;1)), IF(Import.TipoArredondamento&lt;&gt;"TransfereGOV", ROUND(OFFSET($P65,0,AJ$13),15-13*ORÇAMENTO!$AF$7)/$H65*OFFSET(ORÇAMENTO!$X$15,ROW(AJ65)-ROW(AJ$15),0), ROUND(ROUND(OFFSET($P65,0,AJ$13),15-13*ORÇAMENTO!$AF$7)*OFFSET(ORÇAMENTO!$W$15,ROW(AJ65)-ROW(AJ$15),0),15-13*ORÇAMENTO!$AF$11)),0)</f>
        <v>0</v>
      </c>
      <c r="AK65" s="546">
        <f ca="1">IF(AND($D65="Serviço",AK$12&lt;&gt;0,$H65&gt;0,OR(AUTOEVENTO&lt;&gt;"manual",$M65&lt;&gt;1)), IF(Import.TipoArredondamento&lt;&gt;"TransfereGOV", ROUND(OFFSET($P65,0,AK$13),15-13*ORÇAMENTO!$AF$7)/$H65*OFFSET(ORÇAMENTO!$X$15,ROW(AK65)-ROW(AK$15),0), ROUND(ROUND(OFFSET($P65,0,AK$13),15-13*ORÇAMENTO!$AF$7)*OFFSET(ORÇAMENTO!$W$15,ROW(AK65)-ROW(AK$15),0),15-13*ORÇAMENTO!$AF$11)),0)</f>
        <v>0</v>
      </c>
      <c r="AM65" s="181">
        <f ca="1">IF($D65&lt;&gt;"Serviço",0,IF(AND(AUTOEVENTO="Manual",$M65=1),0,IF(OFFSET(CRONOPLE!$F$14,$M65,AM$13)="",10^12,OFFSET(CRONOPLE!$F$14,$M65,AM$13))))</f>
        <v>1000000000000</v>
      </c>
      <c r="AN65" s="181">
        <f ca="1">IF($D65&lt;&gt;"Serviço",0,IF(AND(AUTOEVENTO="Manual",$M65=1),0,IF(OFFSET(CRONOPLE!$F$14,$M65,AN$13)="",10^12,OFFSET(CRONOPLE!$F$14,$M65,AN$13))))</f>
        <v>1000000000000</v>
      </c>
      <c r="AO65" s="181">
        <f ca="1">IF($D65&lt;&gt;"Serviço",0,IF(AND(AUTOEVENTO="Manual",$M65=1),0,IF(OFFSET(CRONOPLE!$F$14,$M65,AO$13)="",10^12,OFFSET(CRONOPLE!$F$14,$M65,AO$13))))</f>
        <v>1000000000000</v>
      </c>
      <c r="AP65" s="181">
        <f ca="1">IF($D65&lt;&gt;"Serviço",0,IF(AND(AUTOEVENTO="Manual",$M65=1),0,IF(OFFSET(CRONOPLE!$F$14,$M65,AP$13)="",10^12,OFFSET(CRONOPLE!$F$14,$M65,AP$13))))</f>
        <v>1000000000000</v>
      </c>
      <c r="AQ65" s="181">
        <f ca="1">IF($D65&lt;&gt;"Serviço",0,IF(AND(AUTOEVENTO="Manual",$M65=1),0,IF(OFFSET(CRONOPLE!$F$14,$M65,AQ$13)="",10^12,OFFSET(CRONOPLE!$F$14,$M65,AQ$13))))</f>
        <v>1000000000000</v>
      </c>
      <c r="AR65" s="181">
        <f ca="1">IF($D65&lt;&gt;"Serviço",0,IF(AND(AUTOEVENTO="Manual",$M65=1),0,IF(OFFSET(CRONOPLE!$F$14,$M65,AR$13)="",10^12,OFFSET(CRONOPLE!$F$14,$M65,AR$13))))</f>
        <v>1000000000000</v>
      </c>
      <c r="AS65" s="181">
        <f ca="1">IF($D65&lt;&gt;"Serviço",0,IF(AND(AUTOEVENTO="Manual",$M65=1),0,IF(OFFSET(CRONOPLE!$F$14,$M65,AS$13)="",10^12,OFFSET(CRONOPLE!$F$14,$M65,AS$13))))</f>
        <v>1000000000000</v>
      </c>
      <c r="AT65" s="181">
        <f ca="1">IF($D65&lt;&gt;"Serviço",0,IF(AND(AUTOEVENTO="Manual",$M65=1),0,IF(OFFSET(CRONOPLE!$F$14,$M65,AT$13)="",10^12,OFFSET(CRONOPLE!$F$14,$M65,AT$13))))</f>
        <v>1000000000000</v>
      </c>
      <c r="AU65" s="181">
        <f ca="1">IF($D65&lt;&gt;"Serviço",0,IF(AND(AUTOEVENTO="Manual",$M65=1),0,IF(OFFSET(CRONOPLE!$F$14,$M65,AU$13)="",10^12,OFFSET(CRONOPLE!$F$14,$M65,AU$13))))</f>
        <v>1000000000000</v>
      </c>
      <c r="AV65" s="181">
        <f ca="1">IF($D65&lt;&gt;"Serviço",0,IF(AND(AUTOEVENTO="Manual",$M65=1),0,IF(OFFSET(CRONOPLE!$F$14,$M65,AV$13)="",10^12,OFFSET(CRONOPLE!$F$14,$M65,AV$13))))</f>
        <v>1000000000000</v>
      </c>
      <c r="AX65" s="182">
        <f ca="1">IF($D65&lt;&gt;"Serviço",0,IF(OR(AND(AUTOEVENTO="Manual",$M65=1),$M65&gt;(ROW(PLE.lastrow)-ROW(PLE.firstrow))),0,IF(OFFSET(PLE!$G$14,$M65,AX$13)="",10^12,OFFSET(PLE!$G$14,$M65,AX$13))))</f>
        <v>1000000000000</v>
      </c>
      <c r="AY65" s="182">
        <f ca="1">IF($D65&lt;&gt;"Serviço",0,IF(OR(AND(AUTOEVENTO="Manual",$M65=1),$M65&gt;(ROW(PLE.lastrow)-ROW(PLE.firstrow))),0,IF(OFFSET(PLE!$G$14,$M65,AY$13)="",10^12,OFFSET(PLE!$G$14,$M65,AY$13))))</f>
        <v>1000000000000</v>
      </c>
      <c r="AZ65" s="182">
        <f ca="1">IF($D65&lt;&gt;"Serviço",0,IF(OR(AND(AUTOEVENTO="Manual",$M65=1),$M65&gt;(ROW(PLE.lastrow)-ROW(PLE.firstrow))),0,IF(OFFSET(PLE!$G$14,$M65,AZ$13)="",10^12,OFFSET(PLE!$G$14,$M65,AZ$13))))</f>
        <v>1000000000000</v>
      </c>
      <c r="BA65" s="182">
        <f ca="1">IF($D65&lt;&gt;"Serviço",0,IF(OR(AND(AUTOEVENTO="Manual",$M65=1),$M65&gt;(ROW(PLE.lastrow)-ROW(PLE.firstrow))),0,IF(OFFSET(PLE!$G$14,$M65,BA$13)="",10^12,OFFSET(PLE!$G$14,$M65,BA$13))))</f>
        <v>1000000000000</v>
      </c>
      <c r="BB65" s="182">
        <f ca="1">IF($D65&lt;&gt;"Serviço",0,IF(OR(AND(AUTOEVENTO="Manual",$M65=1),$M65&gt;(ROW(PLE.lastrow)-ROW(PLE.firstrow))),0,IF(OFFSET(PLE!$G$14,$M65,BB$13)="",10^12,OFFSET(PLE!$G$14,$M65,BB$13))))</f>
        <v>1000000000000</v>
      </c>
      <c r="BC65" s="182">
        <f ca="1">IF($D65&lt;&gt;"Serviço",0,IF(OR(AND(AUTOEVENTO="Manual",$M65=1),$M65&gt;(ROW(PLE.lastrow)-ROW(PLE.firstrow))),0,IF(OFFSET(PLE!$G$14,$M65,BC$13)="",10^12,OFFSET(PLE!$G$14,$M65,BC$13))))</f>
        <v>1000000000000</v>
      </c>
      <c r="BD65" s="182">
        <f ca="1">IF($D65&lt;&gt;"Serviço",0,IF(OR(AND(AUTOEVENTO="Manual",$M65=1),$M65&gt;(ROW(PLE.lastrow)-ROW(PLE.firstrow))),0,IF(OFFSET(PLE!$G$14,$M65,BD$13)="",10^12,OFFSET(PLE!$G$14,$M65,BD$13))))</f>
        <v>1000000000000</v>
      </c>
      <c r="BE65" s="182">
        <f ca="1">IF($D65&lt;&gt;"Serviço",0,IF(OR(AND(AUTOEVENTO="Manual",$M65=1),$M65&gt;(ROW(PLE.lastrow)-ROW(PLE.firstrow))),0,IF(OFFSET(PLE!$G$14,$M65,BE$13)="",10^12,OFFSET(PLE!$G$14,$M65,BE$13))))</f>
        <v>1000000000000</v>
      </c>
      <c r="BF65" s="182">
        <f ca="1">IF($D65&lt;&gt;"Serviço",0,IF(OR(AND(AUTOEVENTO="Manual",$M65=1),$M65&gt;(ROW(PLE.lastrow)-ROW(PLE.firstrow))),0,IF(OFFSET(PLE!$G$14,$M65,BF$13)="",10^12,OFFSET(PLE!$G$14,$M65,BF$13))))</f>
        <v>1000000000000</v>
      </c>
      <c r="BG65" s="182">
        <f ca="1">IF($D65&lt;&gt;"Serviço",0,IF(OR(AND(AUTOEVENTO="Manual",$M65=1),$M65&gt;(ROW(PLE.lastrow)-ROW(PLE.firstrow))),0,IF(OFFSET(PLE!$G$14,$M65,BG$13)="",10^12,OFFSET(PLE!$G$14,$M65,BG$13))))</f>
        <v>1000000000000</v>
      </c>
    </row>
    <row r="66" spans="1:59" ht="25.5" x14ac:dyDescent="0.2">
      <c r="A66" s="7" t="str">
        <f t="shared" ca="1" si="8"/>
        <v>49</v>
      </c>
      <c r="B66" s="7" t="str">
        <f ca="1">OFFSET(ORÇAMENTO!C$15,ROW(B66)-ROW(B$15),0)</f>
        <v>S</v>
      </c>
      <c r="C66" s="7" t="str">
        <f ca="1">OFFSET(ORÇAMENTO!L$15,ROW(C66)-ROW(C$15),0)</f>
        <v>F</v>
      </c>
      <c r="D66" s="118" t="str">
        <f ca="1">OFFSET(ORÇAMENTO!N$15,ROW(D66)-ROW(D$15),0)</f>
        <v>Serviço</v>
      </c>
      <c r="E66" s="119" t="str">
        <f ca="1">OFFSET(ORÇAMENTO!O$15,ROW(E66)-ROW(E$15),0)</f>
        <v>2.3.2.</v>
      </c>
      <c r="F66" s="172" t="str">
        <f ca="1">OFFSET(ORÇAMENTO!R$15,ROW(F66)-ROW(F$15),0)</f>
        <v>TUBO DE CONCRETO PA2 COMERCIAL PARA DRENAGEM - D=0,40 m (fornecimento e instalação)</v>
      </c>
      <c r="G66" s="173" t="str">
        <f ca="1">IF($D66&lt;&gt;"Serviço","",OFFSET(ORÇAMENTO!S$15,ROW(G66)-ROW(G$15),0))</f>
        <v>M</v>
      </c>
      <c r="H66" s="124">
        <f ca="1">IF($D66&lt;&gt;"Serviço",0,IF(ACOMPANHAMENTO="BM",ROUND(OFFSET(ORÇAMENTO!AJ$15,ROW(H66)-ROW(H$15),0),15-13*ORÇAMENTO!$AF$7),SUMPRODUCT(($Q$12:$AA$12&lt;&gt;"")*ROUND($Q66:$AA66,15-13*ORÇAMENTO!$AF$7))))</f>
        <v>119</v>
      </c>
      <c r="I66" s="561"/>
      <c r="K66" s="174"/>
      <c r="L66" s="175" t="s">
        <v>255</v>
      </c>
      <c r="M66" s="176">
        <f ca="1">IF($D66&lt;&gt;"Serviço","",IF(AUTOEVENTO="manual",$A66,IF(ISERROR(MATCH($A66,$A$15:OFFSET($A66,-1,0),0)),MAX($M$15:OFFSET(M66,-1,0))+1,INDEX($M$15:OFFSET(M66,-1,0),MATCH($A66,$A$15:OFFSET($A66,-1,0),0)))))</f>
        <v>9</v>
      </c>
      <c r="N66" s="177" t="str">
        <f ca="1">IF($D66&lt;&gt;"Serviço","",IF(AUTOEVENTO="Manual",IF($A66=0,"&lt;-- defina o número do agrupador",OFFSET(EVENTOS!$D$14,$A66,0)),OFFSET($F$15,$A66,0)))</f>
        <v>DRENAGEM PLUVIAL</v>
      </c>
      <c r="O66" s="178"/>
      <c r="Q66" s="178"/>
      <c r="R66" s="179"/>
      <c r="S66" s="179"/>
      <c r="T66" s="179"/>
      <c r="U66" s="179"/>
      <c r="V66" s="179"/>
      <c r="W66" s="179"/>
      <c r="X66" s="179"/>
      <c r="Y66" s="179"/>
      <c r="Z66" s="180"/>
      <c r="AB66" s="544">
        <f ca="1">IF(AND($D66="Serviço",AB$12&lt;&gt;0,$H66&gt;0,OR(AUTOEVENTO&lt;&gt;"manual",$M66&lt;&gt;1)), IF(Import.TipoArredondamento&lt;&gt;"TransfereGOV", ROUND(OFFSET($P66,0,AB$13),15-13*ORÇAMENTO!$AF$7)/$H66*OFFSET(ORÇAMENTO!$X$15,ROW(AB66)-ROW(AB$15),0), ROUND(ROUND(OFFSET($P66,0,AB$13),15-13*ORÇAMENTO!$AF$7)*OFFSET(ORÇAMENTO!$W$15,ROW(AB66)-ROW(AB$15),0),15-13*ORÇAMENTO!$AF$11)),0)</f>
        <v>0</v>
      </c>
      <c r="AC66" s="545">
        <f ca="1">IF(AND($D66="Serviço",AC$12&lt;&gt;0,$H66&gt;0,OR(AUTOEVENTO&lt;&gt;"manual",$M66&lt;&gt;1)), IF(Import.TipoArredondamento&lt;&gt;"TransfereGOV", ROUND(OFFSET($P66,0,AC$13),15-13*ORÇAMENTO!$AF$7)/$H66*OFFSET(ORÇAMENTO!$X$15,ROW(AC66)-ROW(AC$15),0), ROUND(ROUND(OFFSET($P66,0,AC$13),15-13*ORÇAMENTO!$AF$7)*OFFSET(ORÇAMENTO!$W$15,ROW(AC66)-ROW(AC$15),0),15-13*ORÇAMENTO!$AF$11)),0)</f>
        <v>0</v>
      </c>
      <c r="AD66" s="545">
        <f ca="1">IF(AND($D66="Serviço",AD$12&lt;&gt;0,$H66&gt;0,OR(AUTOEVENTO&lt;&gt;"manual",$M66&lt;&gt;1)), IF(Import.TipoArredondamento&lt;&gt;"TransfereGOV", ROUND(OFFSET($P66,0,AD$13),15-13*ORÇAMENTO!$AF$7)/$H66*OFFSET(ORÇAMENTO!$X$15,ROW(AD66)-ROW(AD$15),0), ROUND(ROUND(OFFSET($P66,0,AD$13),15-13*ORÇAMENTO!$AF$7)*OFFSET(ORÇAMENTO!$W$15,ROW(AD66)-ROW(AD$15),0),15-13*ORÇAMENTO!$AF$11)),0)</f>
        <v>0</v>
      </c>
      <c r="AE66" s="545">
        <f ca="1">IF(AND($D66="Serviço",AE$12&lt;&gt;0,$H66&gt;0,OR(AUTOEVENTO&lt;&gt;"manual",$M66&lt;&gt;1)), IF(Import.TipoArredondamento&lt;&gt;"TransfereGOV", ROUND(OFFSET($P66,0,AE$13),15-13*ORÇAMENTO!$AF$7)/$H66*OFFSET(ORÇAMENTO!$X$15,ROW(AE66)-ROW(AE$15),0), ROUND(ROUND(OFFSET($P66,0,AE$13),15-13*ORÇAMENTO!$AF$7)*OFFSET(ORÇAMENTO!$W$15,ROW(AE66)-ROW(AE$15),0),15-13*ORÇAMENTO!$AF$11)),0)</f>
        <v>0</v>
      </c>
      <c r="AF66" s="545">
        <f ca="1">IF(AND($D66="Serviço",AF$12&lt;&gt;0,$H66&gt;0,OR(AUTOEVENTO&lt;&gt;"manual",$M66&lt;&gt;1)), IF(Import.TipoArredondamento&lt;&gt;"TransfereGOV", ROUND(OFFSET($P66,0,AF$13),15-13*ORÇAMENTO!$AF$7)/$H66*OFFSET(ORÇAMENTO!$X$15,ROW(AF66)-ROW(AF$15),0), ROUND(ROUND(OFFSET($P66,0,AF$13),15-13*ORÇAMENTO!$AF$7)*OFFSET(ORÇAMENTO!$W$15,ROW(AF66)-ROW(AF$15),0),15-13*ORÇAMENTO!$AF$11)),0)</f>
        <v>0</v>
      </c>
      <c r="AG66" s="545">
        <f ca="1">IF(AND($D66="Serviço",AG$12&lt;&gt;0,$H66&gt;0,OR(AUTOEVENTO&lt;&gt;"manual",$M66&lt;&gt;1)), IF(Import.TipoArredondamento&lt;&gt;"TransfereGOV", ROUND(OFFSET($P66,0,AG$13),15-13*ORÇAMENTO!$AF$7)/$H66*OFFSET(ORÇAMENTO!$X$15,ROW(AG66)-ROW(AG$15),0), ROUND(ROUND(OFFSET($P66,0,AG$13),15-13*ORÇAMENTO!$AF$7)*OFFSET(ORÇAMENTO!$W$15,ROW(AG66)-ROW(AG$15),0),15-13*ORÇAMENTO!$AF$11)),0)</f>
        <v>0</v>
      </c>
      <c r="AH66" s="545">
        <f ca="1">IF(AND($D66="Serviço",AH$12&lt;&gt;0,$H66&gt;0,OR(AUTOEVENTO&lt;&gt;"manual",$M66&lt;&gt;1)), IF(Import.TipoArredondamento&lt;&gt;"TransfereGOV", ROUND(OFFSET($P66,0,AH$13),15-13*ORÇAMENTO!$AF$7)/$H66*OFFSET(ORÇAMENTO!$X$15,ROW(AH66)-ROW(AH$15),0), ROUND(ROUND(OFFSET($P66,0,AH$13),15-13*ORÇAMENTO!$AF$7)*OFFSET(ORÇAMENTO!$W$15,ROW(AH66)-ROW(AH$15),0),15-13*ORÇAMENTO!$AF$11)),0)</f>
        <v>0</v>
      </c>
      <c r="AI66" s="545">
        <f ca="1">IF(AND($D66="Serviço",AI$12&lt;&gt;0,$H66&gt;0,OR(AUTOEVENTO&lt;&gt;"manual",$M66&lt;&gt;1)), IF(Import.TipoArredondamento&lt;&gt;"TransfereGOV", ROUND(OFFSET($P66,0,AI$13),15-13*ORÇAMENTO!$AF$7)/$H66*OFFSET(ORÇAMENTO!$X$15,ROW(AI66)-ROW(AI$15),0), ROUND(ROUND(OFFSET($P66,0,AI$13),15-13*ORÇAMENTO!$AF$7)*OFFSET(ORÇAMENTO!$W$15,ROW(AI66)-ROW(AI$15),0),15-13*ORÇAMENTO!$AF$11)),0)</f>
        <v>0</v>
      </c>
      <c r="AJ66" s="545">
        <f ca="1">IF(AND($D66="Serviço",AJ$12&lt;&gt;0,$H66&gt;0,OR(AUTOEVENTO&lt;&gt;"manual",$M66&lt;&gt;1)), IF(Import.TipoArredondamento&lt;&gt;"TransfereGOV", ROUND(OFFSET($P66,0,AJ$13),15-13*ORÇAMENTO!$AF$7)/$H66*OFFSET(ORÇAMENTO!$X$15,ROW(AJ66)-ROW(AJ$15),0), ROUND(ROUND(OFFSET($P66,0,AJ$13),15-13*ORÇAMENTO!$AF$7)*OFFSET(ORÇAMENTO!$W$15,ROW(AJ66)-ROW(AJ$15),0),15-13*ORÇAMENTO!$AF$11)),0)</f>
        <v>0</v>
      </c>
      <c r="AK66" s="546">
        <f ca="1">IF(AND($D66="Serviço",AK$12&lt;&gt;0,$H66&gt;0,OR(AUTOEVENTO&lt;&gt;"manual",$M66&lt;&gt;1)), IF(Import.TipoArredondamento&lt;&gt;"TransfereGOV", ROUND(OFFSET($P66,0,AK$13),15-13*ORÇAMENTO!$AF$7)/$H66*OFFSET(ORÇAMENTO!$X$15,ROW(AK66)-ROW(AK$15),0), ROUND(ROUND(OFFSET($P66,0,AK$13),15-13*ORÇAMENTO!$AF$7)*OFFSET(ORÇAMENTO!$W$15,ROW(AK66)-ROW(AK$15),0),15-13*ORÇAMENTO!$AF$11)),0)</f>
        <v>0</v>
      </c>
      <c r="AM66" s="181">
        <f ca="1">IF($D66&lt;&gt;"Serviço",0,IF(AND(AUTOEVENTO="Manual",$M66=1),0,IF(OFFSET(CRONOPLE!$F$14,$M66,AM$13)="",10^12,OFFSET(CRONOPLE!$F$14,$M66,AM$13))))</f>
        <v>1000000000000</v>
      </c>
      <c r="AN66" s="181">
        <f ca="1">IF($D66&lt;&gt;"Serviço",0,IF(AND(AUTOEVENTO="Manual",$M66=1),0,IF(OFFSET(CRONOPLE!$F$14,$M66,AN$13)="",10^12,OFFSET(CRONOPLE!$F$14,$M66,AN$13))))</f>
        <v>1000000000000</v>
      </c>
      <c r="AO66" s="181">
        <f ca="1">IF($D66&lt;&gt;"Serviço",0,IF(AND(AUTOEVENTO="Manual",$M66=1),0,IF(OFFSET(CRONOPLE!$F$14,$M66,AO$13)="",10^12,OFFSET(CRONOPLE!$F$14,$M66,AO$13))))</f>
        <v>1000000000000</v>
      </c>
      <c r="AP66" s="181">
        <f ca="1">IF($D66&lt;&gt;"Serviço",0,IF(AND(AUTOEVENTO="Manual",$M66=1),0,IF(OFFSET(CRONOPLE!$F$14,$M66,AP$13)="",10^12,OFFSET(CRONOPLE!$F$14,$M66,AP$13))))</f>
        <v>1000000000000</v>
      </c>
      <c r="AQ66" s="181">
        <f ca="1">IF($D66&lt;&gt;"Serviço",0,IF(AND(AUTOEVENTO="Manual",$M66=1),0,IF(OFFSET(CRONOPLE!$F$14,$M66,AQ$13)="",10^12,OFFSET(CRONOPLE!$F$14,$M66,AQ$13))))</f>
        <v>1000000000000</v>
      </c>
      <c r="AR66" s="181">
        <f ca="1">IF($D66&lt;&gt;"Serviço",0,IF(AND(AUTOEVENTO="Manual",$M66=1),0,IF(OFFSET(CRONOPLE!$F$14,$M66,AR$13)="",10^12,OFFSET(CRONOPLE!$F$14,$M66,AR$13))))</f>
        <v>1000000000000</v>
      </c>
      <c r="AS66" s="181">
        <f ca="1">IF($D66&lt;&gt;"Serviço",0,IF(AND(AUTOEVENTO="Manual",$M66=1),0,IF(OFFSET(CRONOPLE!$F$14,$M66,AS$13)="",10^12,OFFSET(CRONOPLE!$F$14,$M66,AS$13))))</f>
        <v>1000000000000</v>
      </c>
      <c r="AT66" s="181">
        <f ca="1">IF($D66&lt;&gt;"Serviço",0,IF(AND(AUTOEVENTO="Manual",$M66=1),0,IF(OFFSET(CRONOPLE!$F$14,$M66,AT$13)="",10^12,OFFSET(CRONOPLE!$F$14,$M66,AT$13))))</f>
        <v>1000000000000</v>
      </c>
      <c r="AU66" s="181">
        <f ca="1">IF($D66&lt;&gt;"Serviço",0,IF(AND(AUTOEVENTO="Manual",$M66=1),0,IF(OFFSET(CRONOPLE!$F$14,$M66,AU$13)="",10^12,OFFSET(CRONOPLE!$F$14,$M66,AU$13))))</f>
        <v>1000000000000</v>
      </c>
      <c r="AV66" s="181">
        <f ca="1">IF($D66&lt;&gt;"Serviço",0,IF(AND(AUTOEVENTO="Manual",$M66=1),0,IF(OFFSET(CRONOPLE!$F$14,$M66,AV$13)="",10^12,OFFSET(CRONOPLE!$F$14,$M66,AV$13))))</f>
        <v>1000000000000</v>
      </c>
      <c r="AX66" s="182">
        <f ca="1">IF($D66&lt;&gt;"Serviço",0,IF(OR(AND(AUTOEVENTO="Manual",$M66=1),$M66&gt;(ROW(PLE.lastrow)-ROW(PLE.firstrow))),0,IF(OFFSET(PLE!$G$14,$M66,AX$13)="",10^12,OFFSET(PLE!$G$14,$M66,AX$13))))</f>
        <v>1000000000000</v>
      </c>
      <c r="AY66" s="182">
        <f ca="1">IF($D66&lt;&gt;"Serviço",0,IF(OR(AND(AUTOEVENTO="Manual",$M66=1),$M66&gt;(ROW(PLE.lastrow)-ROW(PLE.firstrow))),0,IF(OFFSET(PLE!$G$14,$M66,AY$13)="",10^12,OFFSET(PLE!$G$14,$M66,AY$13))))</f>
        <v>1000000000000</v>
      </c>
      <c r="AZ66" s="182">
        <f ca="1">IF($D66&lt;&gt;"Serviço",0,IF(OR(AND(AUTOEVENTO="Manual",$M66=1),$M66&gt;(ROW(PLE.lastrow)-ROW(PLE.firstrow))),0,IF(OFFSET(PLE!$G$14,$M66,AZ$13)="",10^12,OFFSET(PLE!$G$14,$M66,AZ$13))))</f>
        <v>1000000000000</v>
      </c>
      <c r="BA66" s="182">
        <f ca="1">IF($D66&lt;&gt;"Serviço",0,IF(OR(AND(AUTOEVENTO="Manual",$M66=1),$M66&gt;(ROW(PLE.lastrow)-ROW(PLE.firstrow))),0,IF(OFFSET(PLE!$G$14,$M66,BA$13)="",10^12,OFFSET(PLE!$G$14,$M66,BA$13))))</f>
        <v>1000000000000</v>
      </c>
      <c r="BB66" s="182">
        <f ca="1">IF($D66&lt;&gt;"Serviço",0,IF(OR(AND(AUTOEVENTO="Manual",$M66=1),$M66&gt;(ROW(PLE.lastrow)-ROW(PLE.firstrow))),0,IF(OFFSET(PLE!$G$14,$M66,BB$13)="",10^12,OFFSET(PLE!$G$14,$M66,BB$13))))</f>
        <v>1000000000000</v>
      </c>
      <c r="BC66" s="182">
        <f ca="1">IF($D66&lt;&gt;"Serviço",0,IF(OR(AND(AUTOEVENTO="Manual",$M66=1),$M66&gt;(ROW(PLE.lastrow)-ROW(PLE.firstrow))),0,IF(OFFSET(PLE!$G$14,$M66,BC$13)="",10^12,OFFSET(PLE!$G$14,$M66,BC$13))))</f>
        <v>1000000000000</v>
      </c>
      <c r="BD66" s="182">
        <f ca="1">IF($D66&lt;&gt;"Serviço",0,IF(OR(AND(AUTOEVENTO="Manual",$M66=1),$M66&gt;(ROW(PLE.lastrow)-ROW(PLE.firstrow))),0,IF(OFFSET(PLE!$G$14,$M66,BD$13)="",10^12,OFFSET(PLE!$G$14,$M66,BD$13))))</f>
        <v>1000000000000</v>
      </c>
      <c r="BE66" s="182">
        <f ca="1">IF($D66&lt;&gt;"Serviço",0,IF(OR(AND(AUTOEVENTO="Manual",$M66=1),$M66&gt;(ROW(PLE.lastrow)-ROW(PLE.firstrow))),0,IF(OFFSET(PLE!$G$14,$M66,BE$13)="",10^12,OFFSET(PLE!$G$14,$M66,BE$13))))</f>
        <v>1000000000000</v>
      </c>
      <c r="BF66" s="182">
        <f ca="1">IF($D66&lt;&gt;"Serviço",0,IF(OR(AND(AUTOEVENTO="Manual",$M66=1),$M66&gt;(ROW(PLE.lastrow)-ROW(PLE.firstrow))),0,IF(OFFSET(PLE!$G$14,$M66,BF$13)="",10^12,OFFSET(PLE!$G$14,$M66,BF$13))))</f>
        <v>1000000000000</v>
      </c>
      <c r="BG66" s="182">
        <f ca="1">IF($D66&lt;&gt;"Serviço",0,IF(OR(AND(AUTOEVENTO="Manual",$M66=1),$M66&gt;(ROW(PLE.lastrow)-ROW(PLE.firstrow))),0,IF(OFFSET(PLE!$G$14,$M66,BG$13)="",10^12,OFFSET(PLE!$G$14,$M66,BG$13))))</f>
        <v>1000000000000</v>
      </c>
    </row>
    <row r="67" spans="1:59" ht="12.75" x14ac:dyDescent="0.2">
      <c r="A67" s="7" t="str">
        <f t="shared" ca="1" si="8"/>
        <v>49</v>
      </c>
      <c r="B67" s="7" t="str">
        <f ca="1">OFFSET(ORÇAMENTO!C$15,ROW(B67)-ROW(B$15),0)</f>
        <v>S</v>
      </c>
      <c r="C67" s="7" t="str">
        <f ca="1">OFFSET(ORÇAMENTO!L$15,ROW(C67)-ROW(C$15),0)</f>
        <v>F</v>
      </c>
      <c r="D67" s="118" t="str">
        <f ca="1">OFFSET(ORÇAMENTO!N$15,ROW(D67)-ROW(D$15),0)</f>
        <v>Serviço</v>
      </c>
      <c r="E67" s="119" t="str">
        <f ca="1">OFFSET(ORÇAMENTO!O$15,ROW(E67)-ROW(E$15),0)</f>
        <v>2.3.3.</v>
      </c>
      <c r="F67" s="172" t="str">
        <f ca="1">OFFSET(ORÇAMENTO!R$15,ROW(F67)-ROW(F$15),0)</f>
        <v>Reaterro e compactação com soquete vibratório</v>
      </c>
      <c r="G67" s="173" t="str">
        <f ca="1">IF($D67&lt;&gt;"Serviço","",OFFSET(ORÇAMENTO!S$15,ROW(G67)-ROW(G$15),0))</f>
        <v>m³</v>
      </c>
      <c r="H67" s="124">
        <f ca="1">IF($D67&lt;&gt;"Serviço",0,IF(ACOMPANHAMENTO="BM",ROUND(OFFSET(ORÇAMENTO!AJ$15,ROW(H67)-ROW(H$15),0),15-13*ORÇAMENTO!$AF$7),SUMPRODUCT(($Q$12:$AA$12&lt;&gt;"")*ROUND($Q67:$AA67,15-13*ORÇAMENTO!$AF$7))))</f>
        <v>146.91</v>
      </c>
      <c r="I67" s="561"/>
      <c r="K67" s="174"/>
      <c r="L67" s="175" t="s">
        <v>255</v>
      </c>
      <c r="M67" s="176">
        <f ca="1">IF($D67&lt;&gt;"Serviço","",IF(AUTOEVENTO="manual",$A67,IF(ISERROR(MATCH($A67,$A$15:OFFSET($A67,-1,0),0)),MAX($M$15:OFFSET(M67,-1,0))+1,INDEX($M$15:OFFSET(M67,-1,0),MATCH($A67,$A$15:OFFSET($A67,-1,0),0)))))</f>
        <v>9</v>
      </c>
      <c r="N67" s="177" t="str">
        <f ca="1">IF($D67&lt;&gt;"Serviço","",IF(AUTOEVENTO="Manual",IF($A67=0,"&lt;-- defina o número do agrupador",OFFSET(EVENTOS!$D$14,$A67,0)),OFFSET($F$15,$A67,0)))</f>
        <v>DRENAGEM PLUVIAL</v>
      </c>
      <c r="O67" s="178"/>
      <c r="Q67" s="178"/>
      <c r="R67" s="179"/>
      <c r="S67" s="179"/>
      <c r="T67" s="179"/>
      <c r="U67" s="179"/>
      <c r="V67" s="179"/>
      <c r="W67" s="179"/>
      <c r="X67" s="179"/>
      <c r="Y67" s="179"/>
      <c r="Z67" s="180"/>
      <c r="AB67" s="544">
        <f ca="1">IF(AND($D67="Serviço",AB$12&lt;&gt;0,$H67&gt;0,OR(AUTOEVENTO&lt;&gt;"manual",$M67&lt;&gt;1)), IF(Import.TipoArredondamento&lt;&gt;"TransfereGOV", ROUND(OFFSET($P67,0,AB$13),15-13*ORÇAMENTO!$AF$7)/$H67*OFFSET(ORÇAMENTO!$X$15,ROW(AB67)-ROW(AB$15),0), ROUND(ROUND(OFFSET($P67,0,AB$13),15-13*ORÇAMENTO!$AF$7)*OFFSET(ORÇAMENTO!$W$15,ROW(AB67)-ROW(AB$15),0),15-13*ORÇAMENTO!$AF$11)),0)</f>
        <v>0</v>
      </c>
      <c r="AC67" s="545">
        <f ca="1">IF(AND($D67="Serviço",AC$12&lt;&gt;0,$H67&gt;0,OR(AUTOEVENTO&lt;&gt;"manual",$M67&lt;&gt;1)), IF(Import.TipoArredondamento&lt;&gt;"TransfereGOV", ROUND(OFFSET($P67,0,AC$13),15-13*ORÇAMENTO!$AF$7)/$H67*OFFSET(ORÇAMENTO!$X$15,ROW(AC67)-ROW(AC$15),0), ROUND(ROUND(OFFSET($P67,0,AC$13),15-13*ORÇAMENTO!$AF$7)*OFFSET(ORÇAMENTO!$W$15,ROW(AC67)-ROW(AC$15),0),15-13*ORÇAMENTO!$AF$11)),0)</f>
        <v>0</v>
      </c>
      <c r="AD67" s="545">
        <f ca="1">IF(AND($D67="Serviço",AD$12&lt;&gt;0,$H67&gt;0,OR(AUTOEVENTO&lt;&gt;"manual",$M67&lt;&gt;1)), IF(Import.TipoArredondamento&lt;&gt;"TransfereGOV", ROUND(OFFSET($P67,0,AD$13),15-13*ORÇAMENTO!$AF$7)/$H67*OFFSET(ORÇAMENTO!$X$15,ROW(AD67)-ROW(AD$15),0), ROUND(ROUND(OFFSET($P67,0,AD$13),15-13*ORÇAMENTO!$AF$7)*OFFSET(ORÇAMENTO!$W$15,ROW(AD67)-ROW(AD$15),0),15-13*ORÇAMENTO!$AF$11)),0)</f>
        <v>0</v>
      </c>
      <c r="AE67" s="545">
        <f ca="1">IF(AND($D67="Serviço",AE$12&lt;&gt;0,$H67&gt;0,OR(AUTOEVENTO&lt;&gt;"manual",$M67&lt;&gt;1)), IF(Import.TipoArredondamento&lt;&gt;"TransfereGOV", ROUND(OFFSET($P67,0,AE$13),15-13*ORÇAMENTO!$AF$7)/$H67*OFFSET(ORÇAMENTO!$X$15,ROW(AE67)-ROW(AE$15),0), ROUND(ROUND(OFFSET($P67,0,AE$13),15-13*ORÇAMENTO!$AF$7)*OFFSET(ORÇAMENTO!$W$15,ROW(AE67)-ROW(AE$15),0),15-13*ORÇAMENTO!$AF$11)),0)</f>
        <v>0</v>
      </c>
      <c r="AF67" s="545">
        <f ca="1">IF(AND($D67="Serviço",AF$12&lt;&gt;0,$H67&gt;0,OR(AUTOEVENTO&lt;&gt;"manual",$M67&lt;&gt;1)), IF(Import.TipoArredondamento&lt;&gt;"TransfereGOV", ROUND(OFFSET($P67,0,AF$13),15-13*ORÇAMENTO!$AF$7)/$H67*OFFSET(ORÇAMENTO!$X$15,ROW(AF67)-ROW(AF$15),0), ROUND(ROUND(OFFSET($P67,0,AF$13),15-13*ORÇAMENTO!$AF$7)*OFFSET(ORÇAMENTO!$W$15,ROW(AF67)-ROW(AF$15),0),15-13*ORÇAMENTO!$AF$11)),0)</f>
        <v>0</v>
      </c>
      <c r="AG67" s="545">
        <f ca="1">IF(AND($D67="Serviço",AG$12&lt;&gt;0,$H67&gt;0,OR(AUTOEVENTO&lt;&gt;"manual",$M67&lt;&gt;1)), IF(Import.TipoArredondamento&lt;&gt;"TransfereGOV", ROUND(OFFSET($P67,0,AG$13),15-13*ORÇAMENTO!$AF$7)/$H67*OFFSET(ORÇAMENTO!$X$15,ROW(AG67)-ROW(AG$15),0), ROUND(ROUND(OFFSET($P67,0,AG$13),15-13*ORÇAMENTO!$AF$7)*OFFSET(ORÇAMENTO!$W$15,ROW(AG67)-ROW(AG$15),0),15-13*ORÇAMENTO!$AF$11)),0)</f>
        <v>0</v>
      </c>
      <c r="AH67" s="545">
        <f ca="1">IF(AND($D67="Serviço",AH$12&lt;&gt;0,$H67&gt;0,OR(AUTOEVENTO&lt;&gt;"manual",$M67&lt;&gt;1)), IF(Import.TipoArredondamento&lt;&gt;"TransfereGOV", ROUND(OFFSET($P67,0,AH$13),15-13*ORÇAMENTO!$AF$7)/$H67*OFFSET(ORÇAMENTO!$X$15,ROW(AH67)-ROW(AH$15),0), ROUND(ROUND(OFFSET($P67,0,AH$13),15-13*ORÇAMENTO!$AF$7)*OFFSET(ORÇAMENTO!$W$15,ROW(AH67)-ROW(AH$15),0),15-13*ORÇAMENTO!$AF$11)),0)</f>
        <v>0</v>
      </c>
      <c r="AI67" s="545">
        <f ca="1">IF(AND($D67="Serviço",AI$12&lt;&gt;0,$H67&gt;0,OR(AUTOEVENTO&lt;&gt;"manual",$M67&lt;&gt;1)), IF(Import.TipoArredondamento&lt;&gt;"TransfereGOV", ROUND(OFFSET($P67,0,AI$13),15-13*ORÇAMENTO!$AF$7)/$H67*OFFSET(ORÇAMENTO!$X$15,ROW(AI67)-ROW(AI$15),0), ROUND(ROUND(OFFSET($P67,0,AI$13),15-13*ORÇAMENTO!$AF$7)*OFFSET(ORÇAMENTO!$W$15,ROW(AI67)-ROW(AI$15),0),15-13*ORÇAMENTO!$AF$11)),0)</f>
        <v>0</v>
      </c>
      <c r="AJ67" s="545">
        <f ca="1">IF(AND($D67="Serviço",AJ$12&lt;&gt;0,$H67&gt;0,OR(AUTOEVENTO&lt;&gt;"manual",$M67&lt;&gt;1)), IF(Import.TipoArredondamento&lt;&gt;"TransfereGOV", ROUND(OFFSET($P67,0,AJ$13),15-13*ORÇAMENTO!$AF$7)/$H67*OFFSET(ORÇAMENTO!$X$15,ROW(AJ67)-ROW(AJ$15),0), ROUND(ROUND(OFFSET($P67,0,AJ$13),15-13*ORÇAMENTO!$AF$7)*OFFSET(ORÇAMENTO!$W$15,ROW(AJ67)-ROW(AJ$15),0),15-13*ORÇAMENTO!$AF$11)),0)</f>
        <v>0</v>
      </c>
      <c r="AK67" s="546">
        <f ca="1">IF(AND($D67="Serviço",AK$12&lt;&gt;0,$H67&gt;0,OR(AUTOEVENTO&lt;&gt;"manual",$M67&lt;&gt;1)), IF(Import.TipoArredondamento&lt;&gt;"TransfereGOV", ROUND(OFFSET($P67,0,AK$13),15-13*ORÇAMENTO!$AF$7)/$H67*OFFSET(ORÇAMENTO!$X$15,ROW(AK67)-ROW(AK$15),0), ROUND(ROUND(OFFSET($P67,0,AK$13),15-13*ORÇAMENTO!$AF$7)*OFFSET(ORÇAMENTO!$W$15,ROW(AK67)-ROW(AK$15),0),15-13*ORÇAMENTO!$AF$11)),0)</f>
        <v>0</v>
      </c>
      <c r="AM67" s="181">
        <f ca="1">IF($D67&lt;&gt;"Serviço",0,IF(AND(AUTOEVENTO="Manual",$M67=1),0,IF(OFFSET(CRONOPLE!$F$14,$M67,AM$13)="",10^12,OFFSET(CRONOPLE!$F$14,$M67,AM$13))))</f>
        <v>1000000000000</v>
      </c>
      <c r="AN67" s="181">
        <f ca="1">IF($D67&lt;&gt;"Serviço",0,IF(AND(AUTOEVENTO="Manual",$M67=1),0,IF(OFFSET(CRONOPLE!$F$14,$M67,AN$13)="",10^12,OFFSET(CRONOPLE!$F$14,$M67,AN$13))))</f>
        <v>1000000000000</v>
      </c>
      <c r="AO67" s="181">
        <f ca="1">IF($D67&lt;&gt;"Serviço",0,IF(AND(AUTOEVENTO="Manual",$M67=1),0,IF(OFFSET(CRONOPLE!$F$14,$M67,AO$13)="",10^12,OFFSET(CRONOPLE!$F$14,$M67,AO$13))))</f>
        <v>1000000000000</v>
      </c>
      <c r="AP67" s="181">
        <f ca="1">IF($D67&lt;&gt;"Serviço",0,IF(AND(AUTOEVENTO="Manual",$M67=1),0,IF(OFFSET(CRONOPLE!$F$14,$M67,AP$13)="",10^12,OFFSET(CRONOPLE!$F$14,$M67,AP$13))))</f>
        <v>1000000000000</v>
      </c>
      <c r="AQ67" s="181">
        <f ca="1">IF($D67&lt;&gt;"Serviço",0,IF(AND(AUTOEVENTO="Manual",$M67=1),0,IF(OFFSET(CRONOPLE!$F$14,$M67,AQ$13)="",10^12,OFFSET(CRONOPLE!$F$14,$M67,AQ$13))))</f>
        <v>1000000000000</v>
      </c>
      <c r="AR67" s="181">
        <f ca="1">IF($D67&lt;&gt;"Serviço",0,IF(AND(AUTOEVENTO="Manual",$M67=1),0,IF(OFFSET(CRONOPLE!$F$14,$M67,AR$13)="",10^12,OFFSET(CRONOPLE!$F$14,$M67,AR$13))))</f>
        <v>1000000000000</v>
      </c>
      <c r="AS67" s="181">
        <f ca="1">IF($D67&lt;&gt;"Serviço",0,IF(AND(AUTOEVENTO="Manual",$M67=1),0,IF(OFFSET(CRONOPLE!$F$14,$M67,AS$13)="",10^12,OFFSET(CRONOPLE!$F$14,$M67,AS$13))))</f>
        <v>1000000000000</v>
      </c>
      <c r="AT67" s="181">
        <f ca="1">IF($D67&lt;&gt;"Serviço",0,IF(AND(AUTOEVENTO="Manual",$M67=1),0,IF(OFFSET(CRONOPLE!$F$14,$M67,AT$13)="",10^12,OFFSET(CRONOPLE!$F$14,$M67,AT$13))))</f>
        <v>1000000000000</v>
      </c>
      <c r="AU67" s="181">
        <f ca="1">IF($D67&lt;&gt;"Serviço",0,IF(AND(AUTOEVENTO="Manual",$M67=1),0,IF(OFFSET(CRONOPLE!$F$14,$M67,AU$13)="",10^12,OFFSET(CRONOPLE!$F$14,$M67,AU$13))))</f>
        <v>1000000000000</v>
      </c>
      <c r="AV67" s="181">
        <f ca="1">IF($D67&lt;&gt;"Serviço",0,IF(AND(AUTOEVENTO="Manual",$M67=1),0,IF(OFFSET(CRONOPLE!$F$14,$M67,AV$13)="",10^12,OFFSET(CRONOPLE!$F$14,$M67,AV$13))))</f>
        <v>1000000000000</v>
      </c>
      <c r="AX67" s="182">
        <f ca="1">IF($D67&lt;&gt;"Serviço",0,IF(OR(AND(AUTOEVENTO="Manual",$M67=1),$M67&gt;(ROW(PLE.lastrow)-ROW(PLE.firstrow))),0,IF(OFFSET(PLE!$G$14,$M67,AX$13)="",10^12,OFFSET(PLE!$G$14,$M67,AX$13))))</f>
        <v>1000000000000</v>
      </c>
      <c r="AY67" s="182">
        <f ca="1">IF($D67&lt;&gt;"Serviço",0,IF(OR(AND(AUTOEVENTO="Manual",$M67=1),$M67&gt;(ROW(PLE.lastrow)-ROW(PLE.firstrow))),0,IF(OFFSET(PLE!$G$14,$M67,AY$13)="",10^12,OFFSET(PLE!$G$14,$M67,AY$13))))</f>
        <v>1000000000000</v>
      </c>
      <c r="AZ67" s="182">
        <f ca="1">IF($D67&lt;&gt;"Serviço",0,IF(OR(AND(AUTOEVENTO="Manual",$M67=1),$M67&gt;(ROW(PLE.lastrow)-ROW(PLE.firstrow))),0,IF(OFFSET(PLE!$G$14,$M67,AZ$13)="",10^12,OFFSET(PLE!$G$14,$M67,AZ$13))))</f>
        <v>1000000000000</v>
      </c>
      <c r="BA67" s="182">
        <f ca="1">IF($D67&lt;&gt;"Serviço",0,IF(OR(AND(AUTOEVENTO="Manual",$M67=1),$M67&gt;(ROW(PLE.lastrow)-ROW(PLE.firstrow))),0,IF(OFFSET(PLE!$G$14,$M67,BA$13)="",10^12,OFFSET(PLE!$G$14,$M67,BA$13))))</f>
        <v>1000000000000</v>
      </c>
      <c r="BB67" s="182">
        <f ca="1">IF($D67&lt;&gt;"Serviço",0,IF(OR(AND(AUTOEVENTO="Manual",$M67=1),$M67&gt;(ROW(PLE.lastrow)-ROW(PLE.firstrow))),0,IF(OFFSET(PLE!$G$14,$M67,BB$13)="",10^12,OFFSET(PLE!$G$14,$M67,BB$13))))</f>
        <v>1000000000000</v>
      </c>
      <c r="BC67" s="182">
        <f ca="1">IF($D67&lt;&gt;"Serviço",0,IF(OR(AND(AUTOEVENTO="Manual",$M67=1),$M67&gt;(ROW(PLE.lastrow)-ROW(PLE.firstrow))),0,IF(OFFSET(PLE!$G$14,$M67,BC$13)="",10^12,OFFSET(PLE!$G$14,$M67,BC$13))))</f>
        <v>1000000000000</v>
      </c>
      <c r="BD67" s="182">
        <f ca="1">IF($D67&lt;&gt;"Serviço",0,IF(OR(AND(AUTOEVENTO="Manual",$M67=1),$M67&gt;(ROW(PLE.lastrow)-ROW(PLE.firstrow))),0,IF(OFFSET(PLE!$G$14,$M67,BD$13)="",10^12,OFFSET(PLE!$G$14,$M67,BD$13))))</f>
        <v>1000000000000</v>
      </c>
      <c r="BE67" s="182">
        <f ca="1">IF($D67&lt;&gt;"Serviço",0,IF(OR(AND(AUTOEVENTO="Manual",$M67=1),$M67&gt;(ROW(PLE.lastrow)-ROW(PLE.firstrow))),0,IF(OFFSET(PLE!$G$14,$M67,BE$13)="",10^12,OFFSET(PLE!$G$14,$M67,BE$13))))</f>
        <v>1000000000000</v>
      </c>
      <c r="BF67" s="182">
        <f ca="1">IF($D67&lt;&gt;"Serviço",0,IF(OR(AND(AUTOEVENTO="Manual",$M67=1),$M67&gt;(ROW(PLE.lastrow)-ROW(PLE.firstrow))),0,IF(OFFSET(PLE!$G$14,$M67,BF$13)="",10^12,OFFSET(PLE!$G$14,$M67,BF$13))))</f>
        <v>1000000000000</v>
      </c>
      <c r="BG67" s="182">
        <f ca="1">IF($D67&lt;&gt;"Serviço",0,IF(OR(AND(AUTOEVENTO="Manual",$M67=1),$M67&gt;(ROW(PLE.lastrow)-ROW(PLE.firstrow))),0,IF(OFFSET(PLE!$G$14,$M67,BG$13)="",10^12,OFFSET(PLE!$G$14,$M67,BG$13))))</f>
        <v>1000000000000</v>
      </c>
    </row>
    <row r="68" spans="1:59" s="577" customFormat="1" ht="12.75" x14ac:dyDescent="0.2">
      <c r="A68" s="7" t="str">
        <f t="shared" ca="1" si="8"/>
        <v>49</v>
      </c>
      <c r="B68" s="7" t="str">
        <f ca="1">OFFSET(ORÇAMENTO!C$15,ROW(B68)-ROW(B$15),0)</f>
        <v>S</v>
      </c>
      <c r="C68" s="7" t="str">
        <f ca="1">OFFSET(ORÇAMENTO!L$15,ROW(C68)-ROW(C$15),0)</f>
        <v>F</v>
      </c>
      <c r="D68" s="118" t="str">
        <f ca="1">OFFSET(ORÇAMENTO!N$15,ROW(D68)-ROW(D$15),0)</f>
        <v>Serviço</v>
      </c>
      <c r="E68" s="119" t="str">
        <f ca="1">OFFSET(ORÇAMENTO!O$15,ROW(E68)-ROW(E$15),0)</f>
        <v>2.3.4.</v>
      </c>
      <c r="F68" s="172" t="str">
        <f ca="1">OFFSET(ORÇAMENTO!R$15,ROW(F68)-ROW(F$15),0)</f>
        <v>Usinagem de brita graduada com brita comercial em usina de 300 t/h</v>
      </c>
      <c r="G68" s="173" t="str">
        <f ca="1">IF($D68&lt;&gt;"Serviço","",OFFSET(ORÇAMENTO!S$15,ROW(G68)-ROW(G$15),0))</f>
        <v>m³</v>
      </c>
      <c r="H68" s="124">
        <f ca="1">IF($D68&lt;&gt;"Serviço",0,IF(ACOMPANHAMENTO="BM",ROUND(OFFSET(ORÇAMENTO!AJ$15,ROW(H68)-ROW(H$15),0),15-13*ORÇAMENTO!$AF$7),SUMPRODUCT(($Q$12:$AA$12&lt;&gt;"")*ROUND($Q68:$AA68,15-13*ORÇAMENTO!$AF$7))))</f>
        <v>146.91</v>
      </c>
      <c r="I68" s="561"/>
      <c r="K68" s="174"/>
      <c r="L68" s="175" t="s">
        <v>255</v>
      </c>
      <c r="M68" s="176">
        <f ca="1">IF($D68&lt;&gt;"Serviço","",IF(AUTOEVENTO="manual",$A68,IF(ISERROR(MATCH($A68,$A$15:OFFSET($A68,-1,0),0)),MAX($M$15:OFFSET(M68,-1,0))+1,INDEX($M$15:OFFSET(M68,-1,0),MATCH($A68,$A$15:OFFSET($A68,-1,0),0)))))</f>
        <v>9</v>
      </c>
      <c r="N68" s="177" t="str">
        <f ca="1">IF($D68&lt;&gt;"Serviço","",IF(AUTOEVENTO="Manual",IF($A68=0,"&lt;-- defina o número do agrupador",OFFSET(EVENTOS!$D$14,$A68,0)),OFFSET($F$15,$A68,0)))</f>
        <v>DRENAGEM PLUVIAL</v>
      </c>
      <c r="O68" s="178"/>
      <c r="Q68" s="178"/>
      <c r="R68" s="179"/>
      <c r="S68" s="179"/>
      <c r="T68" s="179"/>
      <c r="U68" s="179"/>
      <c r="V68" s="179"/>
      <c r="W68" s="179"/>
      <c r="X68" s="179"/>
      <c r="Y68" s="179"/>
      <c r="Z68" s="180"/>
      <c r="AB68" s="544">
        <f ca="1">IF(AND($D68="Serviço",AB$12&lt;&gt;0,$H68&gt;0,OR(AUTOEVENTO&lt;&gt;"manual",$M68&lt;&gt;1)), IF(Import.TipoArredondamento&lt;&gt;"TransfereGOV", ROUND(OFFSET($P68,0,AB$13),15-13*ORÇAMENTO!$AF$7)/$H68*OFFSET(ORÇAMENTO!$X$15,ROW(AB68)-ROW(AB$15),0), ROUND(ROUND(OFFSET($P68,0,AB$13),15-13*ORÇAMENTO!$AF$7)*OFFSET(ORÇAMENTO!$W$15,ROW(AB68)-ROW(AB$15),0),15-13*ORÇAMENTO!$AF$11)),0)</f>
        <v>0</v>
      </c>
      <c r="AC68" s="545">
        <f ca="1">IF(AND($D68="Serviço",AC$12&lt;&gt;0,$H68&gt;0,OR(AUTOEVENTO&lt;&gt;"manual",$M68&lt;&gt;1)), IF(Import.TipoArredondamento&lt;&gt;"TransfereGOV", ROUND(OFFSET($P68,0,AC$13),15-13*ORÇAMENTO!$AF$7)/$H68*OFFSET(ORÇAMENTO!$X$15,ROW(AC68)-ROW(AC$15),0), ROUND(ROUND(OFFSET($P68,0,AC$13),15-13*ORÇAMENTO!$AF$7)*OFFSET(ORÇAMENTO!$W$15,ROW(AC68)-ROW(AC$15),0),15-13*ORÇAMENTO!$AF$11)),0)</f>
        <v>0</v>
      </c>
      <c r="AD68" s="545">
        <f ca="1">IF(AND($D68="Serviço",AD$12&lt;&gt;0,$H68&gt;0,OR(AUTOEVENTO&lt;&gt;"manual",$M68&lt;&gt;1)), IF(Import.TipoArredondamento&lt;&gt;"TransfereGOV", ROUND(OFFSET($P68,0,AD$13),15-13*ORÇAMENTO!$AF$7)/$H68*OFFSET(ORÇAMENTO!$X$15,ROW(AD68)-ROW(AD$15),0), ROUND(ROUND(OFFSET($P68,0,AD$13),15-13*ORÇAMENTO!$AF$7)*OFFSET(ORÇAMENTO!$W$15,ROW(AD68)-ROW(AD$15),0),15-13*ORÇAMENTO!$AF$11)),0)</f>
        <v>0</v>
      </c>
      <c r="AE68" s="545">
        <f ca="1">IF(AND($D68="Serviço",AE$12&lt;&gt;0,$H68&gt;0,OR(AUTOEVENTO&lt;&gt;"manual",$M68&lt;&gt;1)), IF(Import.TipoArredondamento&lt;&gt;"TransfereGOV", ROUND(OFFSET($P68,0,AE$13),15-13*ORÇAMENTO!$AF$7)/$H68*OFFSET(ORÇAMENTO!$X$15,ROW(AE68)-ROW(AE$15),0), ROUND(ROUND(OFFSET($P68,0,AE$13),15-13*ORÇAMENTO!$AF$7)*OFFSET(ORÇAMENTO!$W$15,ROW(AE68)-ROW(AE$15),0),15-13*ORÇAMENTO!$AF$11)),0)</f>
        <v>0</v>
      </c>
      <c r="AF68" s="545">
        <f ca="1">IF(AND($D68="Serviço",AF$12&lt;&gt;0,$H68&gt;0,OR(AUTOEVENTO&lt;&gt;"manual",$M68&lt;&gt;1)), IF(Import.TipoArredondamento&lt;&gt;"TransfereGOV", ROUND(OFFSET($P68,0,AF$13),15-13*ORÇAMENTO!$AF$7)/$H68*OFFSET(ORÇAMENTO!$X$15,ROW(AF68)-ROW(AF$15),0), ROUND(ROUND(OFFSET($P68,0,AF$13),15-13*ORÇAMENTO!$AF$7)*OFFSET(ORÇAMENTO!$W$15,ROW(AF68)-ROW(AF$15),0),15-13*ORÇAMENTO!$AF$11)),0)</f>
        <v>0</v>
      </c>
      <c r="AG68" s="545">
        <f ca="1">IF(AND($D68="Serviço",AG$12&lt;&gt;0,$H68&gt;0,OR(AUTOEVENTO&lt;&gt;"manual",$M68&lt;&gt;1)), IF(Import.TipoArredondamento&lt;&gt;"TransfereGOV", ROUND(OFFSET($P68,0,AG$13),15-13*ORÇAMENTO!$AF$7)/$H68*OFFSET(ORÇAMENTO!$X$15,ROW(AG68)-ROW(AG$15),0), ROUND(ROUND(OFFSET($P68,0,AG$13),15-13*ORÇAMENTO!$AF$7)*OFFSET(ORÇAMENTO!$W$15,ROW(AG68)-ROW(AG$15),0),15-13*ORÇAMENTO!$AF$11)),0)</f>
        <v>0</v>
      </c>
      <c r="AH68" s="545">
        <f ca="1">IF(AND($D68="Serviço",AH$12&lt;&gt;0,$H68&gt;0,OR(AUTOEVENTO&lt;&gt;"manual",$M68&lt;&gt;1)), IF(Import.TipoArredondamento&lt;&gt;"TransfereGOV", ROUND(OFFSET($P68,0,AH$13),15-13*ORÇAMENTO!$AF$7)/$H68*OFFSET(ORÇAMENTO!$X$15,ROW(AH68)-ROW(AH$15),0), ROUND(ROUND(OFFSET($P68,0,AH$13),15-13*ORÇAMENTO!$AF$7)*OFFSET(ORÇAMENTO!$W$15,ROW(AH68)-ROW(AH$15),0),15-13*ORÇAMENTO!$AF$11)),0)</f>
        <v>0</v>
      </c>
      <c r="AI68" s="545">
        <f ca="1">IF(AND($D68="Serviço",AI$12&lt;&gt;0,$H68&gt;0,OR(AUTOEVENTO&lt;&gt;"manual",$M68&lt;&gt;1)), IF(Import.TipoArredondamento&lt;&gt;"TransfereGOV", ROUND(OFFSET($P68,0,AI$13),15-13*ORÇAMENTO!$AF$7)/$H68*OFFSET(ORÇAMENTO!$X$15,ROW(AI68)-ROW(AI$15),0), ROUND(ROUND(OFFSET($P68,0,AI$13),15-13*ORÇAMENTO!$AF$7)*OFFSET(ORÇAMENTO!$W$15,ROW(AI68)-ROW(AI$15),0),15-13*ORÇAMENTO!$AF$11)),0)</f>
        <v>0</v>
      </c>
      <c r="AJ68" s="545">
        <f ca="1">IF(AND($D68="Serviço",AJ$12&lt;&gt;0,$H68&gt;0,OR(AUTOEVENTO&lt;&gt;"manual",$M68&lt;&gt;1)), IF(Import.TipoArredondamento&lt;&gt;"TransfereGOV", ROUND(OFFSET($P68,0,AJ$13),15-13*ORÇAMENTO!$AF$7)/$H68*OFFSET(ORÇAMENTO!$X$15,ROW(AJ68)-ROW(AJ$15),0), ROUND(ROUND(OFFSET($P68,0,AJ$13),15-13*ORÇAMENTO!$AF$7)*OFFSET(ORÇAMENTO!$W$15,ROW(AJ68)-ROW(AJ$15),0),15-13*ORÇAMENTO!$AF$11)),0)</f>
        <v>0</v>
      </c>
      <c r="AK68" s="546">
        <f ca="1">IF(AND($D68="Serviço",AK$12&lt;&gt;0,$H68&gt;0,OR(AUTOEVENTO&lt;&gt;"manual",$M68&lt;&gt;1)), IF(Import.TipoArredondamento&lt;&gt;"TransfereGOV", ROUND(OFFSET($P68,0,AK$13),15-13*ORÇAMENTO!$AF$7)/$H68*OFFSET(ORÇAMENTO!$X$15,ROW(AK68)-ROW(AK$15),0), ROUND(ROUND(OFFSET($P68,0,AK$13),15-13*ORÇAMENTO!$AF$7)*OFFSET(ORÇAMENTO!$W$15,ROW(AK68)-ROW(AK$15),0),15-13*ORÇAMENTO!$AF$11)),0)</f>
        <v>0</v>
      </c>
      <c r="AM68" s="181">
        <f ca="1">IF($D68&lt;&gt;"Serviço",0,IF(AND(AUTOEVENTO="Manual",$M68=1),0,IF(OFFSET(CRONOPLE!$F$14,$M68,AM$13)="",10^12,OFFSET(CRONOPLE!$F$14,$M68,AM$13))))</f>
        <v>1000000000000</v>
      </c>
      <c r="AN68" s="181">
        <f ca="1">IF($D68&lt;&gt;"Serviço",0,IF(AND(AUTOEVENTO="Manual",$M68=1),0,IF(OFFSET(CRONOPLE!$F$14,$M68,AN$13)="",10^12,OFFSET(CRONOPLE!$F$14,$M68,AN$13))))</f>
        <v>1000000000000</v>
      </c>
      <c r="AO68" s="181">
        <f ca="1">IF($D68&lt;&gt;"Serviço",0,IF(AND(AUTOEVENTO="Manual",$M68=1),0,IF(OFFSET(CRONOPLE!$F$14,$M68,AO$13)="",10^12,OFFSET(CRONOPLE!$F$14,$M68,AO$13))))</f>
        <v>1000000000000</v>
      </c>
      <c r="AP68" s="181">
        <f ca="1">IF($D68&lt;&gt;"Serviço",0,IF(AND(AUTOEVENTO="Manual",$M68=1),0,IF(OFFSET(CRONOPLE!$F$14,$M68,AP$13)="",10^12,OFFSET(CRONOPLE!$F$14,$M68,AP$13))))</f>
        <v>1000000000000</v>
      </c>
      <c r="AQ68" s="181">
        <f ca="1">IF($D68&lt;&gt;"Serviço",0,IF(AND(AUTOEVENTO="Manual",$M68=1),0,IF(OFFSET(CRONOPLE!$F$14,$M68,AQ$13)="",10^12,OFFSET(CRONOPLE!$F$14,$M68,AQ$13))))</f>
        <v>1000000000000</v>
      </c>
      <c r="AR68" s="181">
        <f ca="1">IF($D68&lt;&gt;"Serviço",0,IF(AND(AUTOEVENTO="Manual",$M68=1),0,IF(OFFSET(CRONOPLE!$F$14,$M68,AR$13)="",10^12,OFFSET(CRONOPLE!$F$14,$M68,AR$13))))</f>
        <v>1000000000000</v>
      </c>
      <c r="AS68" s="181">
        <f ca="1">IF($D68&lt;&gt;"Serviço",0,IF(AND(AUTOEVENTO="Manual",$M68=1),0,IF(OFFSET(CRONOPLE!$F$14,$M68,AS$13)="",10^12,OFFSET(CRONOPLE!$F$14,$M68,AS$13))))</f>
        <v>1000000000000</v>
      </c>
      <c r="AT68" s="181">
        <f ca="1">IF($D68&lt;&gt;"Serviço",0,IF(AND(AUTOEVENTO="Manual",$M68=1),0,IF(OFFSET(CRONOPLE!$F$14,$M68,AT$13)="",10^12,OFFSET(CRONOPLE!$F$14,$M68,AT$13))))</f>
        <v>1000000000000</v>
      </c>
      <c r="AU68" s="181">
        <f ca="1">IF($D68&lt;&gt;"Serviço",0,IF(AND(AUTOEVENTO="Manual",$M68=1),0,IF(OFFSET(CRONOPLE!$F$14,$M68,AU$13)="",10^12,OFFSET(CRONOPLE!$F$14,$M68,AU$13))))</f>
        <v>1000000000000</v>
      </c>
      <c r="AV68" s="181">
        <f ca="1">IF($D68&lt;&gt;"Serviço",0,IF(AND(AUTOEVENTO="Manual",$M68=1),0,IF(OFFSET(CRONOPLE!$F$14,$M68,AV$13)="",10^12,OFFSET(CRONOPLE!$F$14,$M68,AV$13))))</f>
        <v>1000000000000</v>
      </c>
      <c r="AX68" s="182">
        <f ca="1">IF($D68&lt;&gt;"Serviço",0,IF(OR(AND(AUTOEVENTO="Manual",$M68=1),$M68&gt;(ROW(PLE.lastrow)-ROW(PLE.firstrow))),0,IF(OFFSET(PLE!$G$14,$M68,AX$13)="",10^12,OFFSET(PLE!$G$14,$M68,AX$13))))</f>
        <v>1000000000000</v>
      </c>
      <c r="AY68" s="182">
        <f ca="1">IF($D68&lt;&gt;"Serviço",0,IF(OR(AND(AUTOEVENTO="Manual",$M68=1),$M68&gt;(ROW(PLE.lastrow)-ROW(PLE.firstrow))),0,IF(OFFSET(PLE!$G$14,$M68,AY$13)="",10^12,OFFSET(PLE!$G$14,$M68,AY$13))))</f>
        <v>1000000000000</v>
      </c>
      <c r="AZ68" s="182">
        <f ca="1">IF($D68&lt;&gt;"Serviço",0,IF(OR(AND(AUTOEVENTO="Manual",$M68=1),$M68&gt;(ROW(PLE.lastrow)-ROW(PLE.firstrow))),0,IF(OFFSET(PLE!$G$14,$M68,AZ$13)="",10^12,OFFSET(PLE!$G$14,$M68,AZ$13))))</f>
        <v>1000000000000</v>
      </c>
      <c r="BA68" s="182">
        <f ca="1">IF($D68&lt;&gt;"Serviço",0,IF(OR(AND(AUTOEVENTO="Manual",$M68=1),$M68&gt;(ROW(PLE.lastrow)-ROW(PLE.firstrow))),0,IF(OFFSET(PLE!$G$14,$M68,BA$13)="",10^12,OFFSET(PLE!$G$14,$M68,BA$13))))</f>
        <v>1000000000000</v>
      </c>
      <c r="BB68" s="182">
        <f ca="1">IF($D68&lt;&gt;"Serviço",0,IF(OR(AND(AUTOEVENTO="Manual",$M68=1),$M68&gt;(ROW(PLE.lastrow)-ROW(PLE.firstrow))),0,IF(OFFSET(PLE!$G$14,$M68,BB$13)="",10^12,OFFSET(PLE!$G$14,$M68,BB$13))))</f>
        <v>1000000000000</v>
      </c>
      <c r="BC68" s="182">
        <f ca="1">IF($D68&lt;&gt;"Serviço",0,IF(OR(AND(AUTOEVENTO="Manual",$M68=1),$M68&gt;(ROW(PLE.lastrow)-ROW(PLE.firstrow))),0,IF(OFFSET(PLE!$G$14,$M68,BC$13)="",10^12,OFFSET(PLE!$G$14,$M68,BC$13))))</f>
        <v>1000000000000</v>
      </c>
      <c r="BD68" s="182">
        <f ca="1">IF($D68&lt;&gt;"Serviço",0,IF(OR(AND(AUTOEVENTO="Manual",$M68=1),$M68&gt;(ROW(PLE.lastrow)-ROW(PLE.firstrow))),0,IF(OFFSET(PLE!$G$14,$M68,BD$13)="",10^12,OFFSET(PLE!$G$14,$M68,BD$13))))</f>
        <v>1000000000000</v>
      </c>
      <c r="BE68" s="182">
        <f ca="1">IF($D68&lt;&gt;"Serviço",0,IF(OR(AND(AUTOEVENTO="Manual",$M68=1),$M68&gt;(ROW(PLE.lastrow)-ROW(PLE.firstrow))),0,IF(OFFSET(PLE!$G$14,$M68,BE$13)="",10^12,OFFSET(PLE!$G$14,$M68,BE$13))))</f>
        <v>1000000000000</v>
      </c>
      <c r="BF68" s="182">
        <f ca="1">IF($D68&lt;&gt;"Serviço",0,IF(OR(AND(AUTOEVENTO="Manual",$M68=1),$M68&gt;(ROW(PLE.lastrow)-ROW(PLE.firstrow))),0,IF(OFFSET(PLE!$G$14,$M68,BF$13)="",10^12,OFFSET(PLE!$G$14,$M68,BF$13))))</f>
        <v>1000000000000</v>
      </c>
      <c r="BG68" s="182">
        <f ca="1">IF($D68&lt;&gt;"Serviço",0,IF(OR(AND(AUTOEVENTO="Manual",$M68=1),$M68&gt;(ROW(PLE.lastrow)-ROW(PLE.firstrow))),0,IF(OFFSET(PLE!$G$14,$M68,BG$13)="",10^12,OFFSET(PLE!$G$14,$M68,BG$13))))</f>
        <v>1000000000000</v>
      </c>
    </row>
    <row r="69" spans="1:59" s="577" customFormat="1" ht="12.75" x14ac:dyDescent="0.2">
      <c r="A69" s="7" t="str">
        <f t="shared" ca="1" si="8"/>
        <v>49</v>
      </c>
      <c r="B69" s="7" t="str">
        <f ca="1">OFFSET(ORÇAMENTO!C$15,ROW(B69)-ROW(B$15),0)</f>
        <v>S</v>
      </c>
      <c r="C69" s="7" t="str">
        <f ca="1">OFFSET(ORÇAMENTO!L$15,ROW(C69)-ROW(C$15),0)</f>
        <v>F</v>
      </c>
      <c r="D69" s="118" t="str">
        <f ca="1">OFFSET(ORÇAMENTO!N$15,ROW(D69)-ROW(D$15),0)</f>
        <v>Serviço</v>
      </c>
      <c r="E69" s="119" t="str">
        <f ca="1">OFFSET(ORÇAMENTO!O$15,ROW(E69)-ROW(E$15),0)</f>
        <v>2.3.5.</v>
      </c>
      <c r="F69" s="172" t="str">
        <f ca="1">OFFSET(ORÇAMENTO!R$15,ROW(F69)-ROW(F$15),0)</f>
        <v>Transporte com caminhão basculante de 10 m³ - rodovia pavimentada</v>
      </c>
      <c r="G69" s="173" t="str">
        <f ca="1">IF($D69&lt;&gt;"Serviço","",OFFSET(ORÇAMENTO!S$15,ROW(G69)-ROW(G$15),0))</f>
        <v>tkm</v>
      </c>
      <c r="H69" s="124">
        <f ca="1">IF($D69&lt;&gt;"Serviço",0,IF(ACOMPANHAMENTO="BM",ROUND(OFFSET(ORÇAMENTO!AJ$15,ROW(H69)-ROW(H$15),0),15-13*ORÇAMENTO!$AF$7),SUMPRODUCT(($Q$12:$AA$12&lt;&gt;"")*ROUND($Q69:$AA69,15-13*ORÇAMENTO!$AF$7))))</f>
        <v>7492.41</v>
      </c>
      <c r="I69" s="561"/>
      <c r="K69" s="174"/>
      <c r="L69" s="175" t="s">
        <v>255</v>
      </c>
      <c r="M69" s="176">
        <f ca="1">IF($D69&lt;&gt;"Serviço","",IF(AUTOEVENTO="manual",$A69,IF(ISERROR(MATCH($A69,$A$15:OFFSET($A69,-1,0),0)),MAX($M$15:OFFSET(M69,-1,0))+1,INDEX($M$15:OFFSET(M69,-1,0),MATCH($A69,$A$15:OFFSET($A69,-1,0),0)))))</f>
        <v>9</v>
      </c>
      <c r="N69" s="177" t="str">
        <f ca="1">IF($D69&lt;&gt;"Serviço","",IF(AUTOEVENTO="Manual",IF($A69=0,"&lt;-- defina o número do agrupador",OFFSET(EVENTOS!$D$14,$A69,0)),OFFSET($F$15,$A69,0)))</f>
        <v>DRENAGEM PLUVIAL</v>
      </c>
      <c r="O69" s="178"/>
      <c r="Q69" s="178"/>
      <c r="R69" s="179"/>
      <c r="S69" s="179"/>
      <c r="T69" s="179"/>
      <c r="U69" s="179"/>
      <c r="V69" s="179"/>
      <c r="W69" s="179"/>
      <c r="X69" s="179"/>
      <c r="Y69" s="179"/>
      <c r="Z69" s="180"/>
      <c r="AB69" s="544">
        <f ca="1">IF(AND($D69="Serviço",AB$12&lt;&gt;0,$H69&gt;0,OR(AUTOEVENTO&lt;&gt;"manual",$M69&lt;&gt;1)), IF(Import.TipoArredondamento&lt;&gt;"TransfereGOV", ROUND(OFFSET($P69,0,AB$13),15-13*ORÇAMENTO!$AF$7)/$H69*OFFSET(ORÇAMENTO!$X$15,ROW(AB69)-ROW(AB$15),0), ROUND(ROUND(OFFSET($P69,0,AB$13),15-13*ORÇAMENTO!$AF$7)*OFFSET(ORÇAMENTO!$W$15,ROW(AB69)-ROW(AB$15),0),15-13*ORÇAMENTO!$AF$11)),0)</f>
        <v>0</v>
      </c>
      <c r="AC69" s="545">
        <f ca="1">IF(AND($D69="Serviço",AC$12&lt;&gt;0,$H69&gt;0,OR(AUTOEVENTO&lt;&gt;"manual",$M69&lt;&gt;1)), IF(Import.TipoArredondamento&lt;&gt;"TransfereGOV", ROUND(OFFSET($P69,0,AC$13),15-13*ORÇAMENTO!$AF$7)/$H69*OFFSET(ORÇAMENTO!$X$15,ROW(AC69)-ROW(AC$15),0), ROUND(ROUND(OFFSET($P69,0,AC$13),15-13*ORÇAMENTO!$AF$7)*OFFSET(ORÇAMENTO!$W$15,ROW(AC69)-ROW(AC$15),0),15-13*ORÇAMENTO!$AF$11)),0)</f>
        <v>0</v>
      </c>
      <c r="AD69" s="545">
        <f ca="1">IF(AND($D69="Serviço",AD$12&lt;&gt;0,$H69&gt;0,OR(AUTOEVENTO&lt;&gt;"manual",$M69&lt;&gt;1)), IF(Import.TipoArredondamento&lt;&gt;"TransfereGOV", ROUND(OFFSET($P69,0,AD$13),15-13*ORÇAMENTO!$AF$7)/$H69*OFFSET(ORÇAMENTO!$X$15,ROW(AD69)-ROW(AD$15),0), ROUND(ROUND(OFFSET($P69,0,AD$13),15-13*ORÇAMENTO!$AF$7)*OFFSET(ORÇAMENTO!$W$15,ROW(AD69)-ROW(AD$15),0),15-13*ORÇAMENTO!$AF$11)),0)</f>
        <v>0</v>
      </c>
      <c r="AE69" s="545">
        <f ca="1">IF(AND($D69="Serviço",AE$12&lt;&gt;0,$H69&gt;0,OR(AUTOEVENTO&lt;&gt;"manual",$M69&lt;&gt;1)), IF(Import.TipoArredondamento&lt;&gt;"TransfereGOV", ROUND(OFFSET($P69,0,AE$13),15-13*ORÇAMENTO!$AF$7)/$H69*OFFSET(ORÇAMENTO!$X$15,ROW(AE69)-ROW(AE$15),0), ROUND(ROUND(OFFSET($P69,0,AE$13),15-13*ORÇAMENTO!$AF$7)*OFFSET(ORÇAMENTO!$W$15,ROW(AE69)-ROW(AE$15),0),15-13*ORÇAMENTO!$AF$11)),0)</f>
        <v>0</v>
      </c>
      <c r="AF69" s="545">
        <f ca="1">IF(AND($D69="Serviço",AF$12&lt;&gt;0,$H69&gt;0,OR(AUTOEVENTO&lt;&gt;"manual",$M69&lt;&gt;1)), IF(Import.TipoArredondamento&lt;&gt;"TransfereGOV", ROUND(OFFSET($P69,0,AF$13),15-13*ORÇAMENTO!$AF$7)/$H69*OFFSET(ORÇAMENTO!$X$15,ROW(AF69)-ROW(AF$15),0), ROUND(ROUND(OFFSET($P69,0,AF$13),15-13*ORÇAMENTO!$AF$7)*OFFSET(ORÇAMENTO!$W$15,ROW(AF69)-ROW(AF$15),0),15-13*ORÇAMENTO!$AF$11)),0)</f>
        <v>0</v>
      </c>
      <c r="AG69" s="545">
        <f ca="1">IF(AND($D69="Serviço",AG$12&lt;&gt;0,$H69&gt;0,OR(AUTOEVENTO&lt;&gt;"manual",$M69&lt;&gt;1)), IF(Import.TipoArredondamento&lt;&gt;"TransfereGOV", ROUND(OFFSET($P69,0,AG$13),15-13*ORÇAMENTO!$AF$7)/$H69*OFFSET(ORÇAMENTO!$X$15,ROW(AG69)-ROW(AG$15),0), ROUND(ROUND(OFFSET($P69,0,AG$13),15-13*ORÇAMENTO!$AF$7)*OFFSET(ORÇAMENTO!$W$15,ROW(AG69)-ROW(AG$15),0),15-13*ORÇAMENTO!$AF$11)),0)</f>
        <v>0</v>
      </c>
      <c r="AH69" s="545">
        <f ca="1">IF(AND($D69="Serviço",AH$12&lt;&gt;0,$H69&gt;0,OR(AUTOEVENTO&lt;&gt;"manual",$M69&lt;&gt;1)), IF(Import.TipoArredondamento&lt;&gt;"TransfereGOV", ROUND(OFFSET($P69,0,AH$13),15-13*ORÇAMENTO!$AF$7)/$H69*OFFSET(ORÇAMENTO!$X$15,ROW(AH69)-ROW(AH$15),0), ROUND(ROUND(OFFSET($P69,0,AH$13),15-13*ORÇAMENTO!$AF$7)*OFFSET(ORÇAMENTO!$W$15,ROW(AH69)-ROW(AH$15),0),15-13*ORÇAMENTO!$AF$11)),0)</f>
        <v>0</v>
      </c>
      <c r="AI69" s="545">
        <f ca="1">IF(AND($D69="Serviço",AI$12&lt;&gt;0,$H69&gt;0,OR(AUTOEVENTO&lt;&gt;"manual",$M69&lt;&gt;1)), IF(Import.TipoArredondamento&lt;&gt;"TransfereGOV", ROUND(OFFSET($P69,0,AI$13),15-13*ORÇAMENTO!$AF$7)/$H69*OFFSET(ORÇAMENTO!$X$15,ROW(AI69)-ROW(AI$15),0), ROUND(ROUND(OFFSET($P69,0,AI$13),15-13*ORÇAMENTO!$AF$7)*OFFSET(ORÇAMENTO!$W$15,ROW(AI69)-ROW(AI$15),0),15-13*ORÇAMENTO!$AF$11)),0)</f>
        <v>0</v>
      </c>
      <c r="AJ69" s="545">
        <f ca="1">IF(AND($D69="Serviço",AJ$12&lt;&gt;0,$H69&gt;0,OR(AUTOEVENTO&lt;&gt;"manual",$M69&lt;&gt;1)), IF(Import.TipoArredondamento&lt;&gt;"TransfereGOV", ROUND(OFFSET($P69,0,AJ$13),15-13*ORÇAMENTO!$AF$7)/$H69*OFFSET(ORÇAMENTO!$X$15,ROW(AJ69)-ROW(AJ$15),0), ROUND(ROUND(OFFSET($P69,0,AJ$13),15-13*ORÇAMENTO!$AF$7)*OFFSET(ORÇAMENTO!$W$15,ROW(AJ69)-ROW(AJ$15),0),15-13*ORÇAMENTO!$AF$11)),0)</f>
        <v>0</v>
      </c>
      <c r="AK69" s="546">
        <f ca="1">IF(AND($D69="Serviço",AK$12&lt;&gt;0,$H69&gt;0,OR(AUTOEVENTO&lt;&gt;"manual",$M69&lt;&gt;1)), IF(Import.TipoArredondamento&lt;&gt;"TransfereGOV", ROUND(OFFSET($P69,0,AK$13),15-13*ORÇAMENTO!$AF$7)/$H69*OFFSET(ORÇAMENTO!$X$15,ROW(AK69)-ROW(AK$15),0), ROUND(ROUND(OFFSET($P69,0,AK$13),15-13*ORÇAMENTO!$AF$7)*OFFSET(ORÇAMENTO!$W$15,ROW(AK69)-ROW(AK$15),0),15-13*ORÇAMENTO!$AF$11)),0)</f>
        <v>0</v>
      </c>
      <c r="AM69" s="181">
        <f ca="1">IF($D69&lt;&gt;"Serviço",0,IF(AND(AUTOEVENTO="Manual",$M69=1),0,IF(OFFSET(CRONOPLE!$F$14,$M69,AM$13)="",10^12,OFFSET(CRONOPLE!$F$14,$M69,AM$13))))</f>
        <v>1000000000000</v>
      </c>
      <c r="AN69" s="181">
        <f ca="1">IF($D69&lt;&gt;"Serviço",0,IF(AND(AUTOEVENTO="Manual",$M69=1),0,IF(OFFSET(CRONOPLE!$F$14,$M69,AN$13)="",10^12,OFFSET(CRONOPLE!$F$14,$M69,AN$13))))</f>
        <v>1000000000000</v>
      </c>
      <c r="AO69" s="181">
        <f ca="1">IF($D69&lt;&gt;"Serviço",0,IF(AND(AUTOEVENTO="Manual",$M69=1),0,IF(OFFSET(CRONOPLE!$F$14,$M69,AO$13)="",10^12,OFFSET(CRONOPLE!$F$14,$M69,AO$13))))</f>
        <v>1000000000000</v>
      </c>
      <c r="AP69" s="181">
        <f ca="1">IF($D69&lt;&gt;"Serviço",0,IF(AND(AUTOEVENTO="Manual",$M69=1),0,IF(OFFSET(CRONOPLE!$F$14,$M69,AP$13)="",10^12,OFFSET(CRONOPLE!$F$14,$M69,AP$13))))</f>
        <v>1000000000000</v>
      </c>
      <c r="AQ69" s="181">
        <f ca="1">IF($D69&lt;&gt;"Serviço",0,IF(AND(AUTOEVENTO="Manual",$M69=1),0,IF(OFFSET(CRONOPLE!$F$14,$M69,AQ$13)="",10^12,OFFSET(CRONOPLE!$F$14,$M69,AQ$13))))</f>
        <v>1000000000000</v>
      </c>
      <c r="AR69" s="181">
        <f ca="1">IF($D69&lt;&gt;"Serviço",0,IF(AND(AUTOEVENTO="Manual",$M69=1),0,IF(OFFSET(CRONOPLE!$F$14,$M69,AR$13)="",10^12,OFFSET(CRONOPLE!$F$14,$M69,AR$13))))</f>
        <v>1000000000000</v>
      </c>
      <c r="AS69" s="181">
        <f ca="1">IF($D69&lt;&gt;"Serviço",0,IF(AND(AUTOEVENTO="Manual",$M69=1),0,IF(OFFSET(CRONOPLE!$F$14,$M69,AS$13)="",10^12,OFFSET(CRONOPLE!$F$14,$M69,AS$13))))</f>
        <v>1000000000000</v>
      </c>
      <c r="AT69" s="181">
        <f ca="1">IF($D69&lt;&gt;"Serviço",0,IF(AND(AUTOEVENTO="Manual",$M69=1),0,IF(OFFSET(CRONOPLE!$F$14,$M69,AT$13)="",10^12,OFFSET(CRONOPLE!$F$14,$M69,AT$13))))</f>
        <v>1000000000000</v>
      </c>
      <c r="AU69" s="181">
        <f ca="1">IF($D69&lt;&gt;"Serviço",0,IF(AND(AUTOEVENTO="Manual",$M69=1),0,IF(OFFSET(CRONOPLE!$F$14,$M69,AU$13)="",10^12,OFFSET(CRONOPLE!$F$14,$M69,AU$13))))</f>
        <v>1000000000000</v>
      </c>
      <c r="AV69" s="181">
        <f ca="1">IF($D69&lt;&gt;"Serviço",0,IF(AND(AUTOEVENTO="Manual",$M69=1),0,IF(OFFSET(CRONOPLE!$F$14,$M69,AV$13)="",10^12,OFFSET(CRONOPLE!$F$14,$M69,AV$13))))</f>
        <v>1000000000000</v>
      </c>
      <c r="AX69" s="182">
        <f ca="1">IF($D69&lt;&gt;"Serviço",0,IF(OR(AND(AUTOEVENTO="Manual",$M69=1),$M69&gt;(ROW(PLE.lastrow)-ROW(PLE.firstrow))),0,IF(OFFSET(PLE!$G$14,$M69,AX$13)="",10^12,OFFSET(PLE!$G$14,$M69,AX$13))))</f>
        <v>1000000000000</v>
      </c>
      <c r="AY69" s="182">
        <f ca="1">IF($D69&lt;&gt;"Serviço",0,IF(OR(AND(AUTOEVENTO="Manual",$M69=1),$M69&gt;(ROW(PLE.lastrow)-ROW(PLE.firstrow))),0,IF(OFFSET(PLE!$G$14,$M69,AY$13)="",10^12,OFFSET(PLE!$G$14,$M69,AY$13))))</f>
        <v>1000000000000</v>
      </c>
      <c r="AZ69" s="182">
        <f ca="1">IF($D69&lt;&gt;"Serviço",0,IF(OR(AND(AUTOEVENTO="Manual",$M69=1),$M69&gt;(ROW(PLE.lastrow)-ROW(PLE.firstrow))),0,IF(OFFSET(PLE!$G$14,$M69,AZ$13)="",10^12,OFFSET(PLE!$G$14,$M69,AZ$13))))</f>
        <v>1000000000000</v>
      </c>
      <c r="BA69" s="182">
        <f ca="1">IF($D69&lt;&gt;"Serviço",0,IF(OR(AND(AUTOEVENTO="Manual",$M69=1),$M69&gt;(ROW(PLE.lastrow)-ROW(PLE.firstrow))),0,IF(OFFSET(PLE!$G$14,$M69,BA$13)="",10^12,OFFSET(PLE!$G$14,$M69,BA$13))))</f>
        <v>1000000000000</v>
      </c>
      <c r="BB69" s="182">
        <f ca="1">IF($D69&lt;&gt;"Serviço",0,IF(OR(AND(AUTOEVENTO="Manual",$M69=1),$M69&gt;(ROW(PLE.lastrow)-ROW(PLE.firstrow))),0,IF(OFFSET(PLE!$G$14,$M69,BB$13)="",10^12,OFFSET(PLE!$G$14,$M69,BB$13))))</f>
        <v>1000000000000</v>
      </c>
      <c r="BC69" s="182">
        <f ca="1">IF($D69&lt;&gt;"Serviço",0,IF(OR(AND(AUTOEVENTO="Manual",$M69=1),$M69&gt;(ROW(PLE.lastrow)-ROW(PLE.firstrow))),0,IF(OFFSET(PLE!$G$14,$M69,BC$13)="",10^12,OFFSET(PLE!$G$14,$M69,BC$13))))</f>
        <v>1000000000000</v>
      </c>
      <c r="BD69" s="182">
        <f ca="1">IF($D69&lt;&gt;"Serviço",0,IF(OR(AND(AUTOEVENTO="Manual",$M69=1),$M69&gt;(ROW(PLE.lastrow)-ROW(PLE.firstrow))),0,IF(OFFSET(PLE!$G$14,$M69,BD$13)="",10^12,OFFSET(PLE!$G$14,$M69,BD$13))))</f>
        <v>1000000000000</v>
      </c>
      <c r="BE69" s="182">
        <f ca="1">IF($D69&lt;&gt;"Serviço",0,IF(OR(AND(AUTOEVENTO="Manual",$M69=1),$M69&gt;(ROW(PLE.lastrow)-ROW(PLE.firstrow))),0,IF(OFFSET(PLE!$G$14,$M69,BE$13)="",10^12,OFFSET(PLE!$G$14,$M69,BE$13))))</f>
        <v>1000000000000</v>
      </c>
      <c r="BF69" s="182">
        <f ca="1">IF($D69&lt;&gt;"Serviço",0,IF(OR(AND(AUTOEVENTO="Manual",$M69=1),$M69&gt;(ROW(PLE.lastrow)-ROW(PLE.firstrow))),0,IF(OFFSET(PLE!$G$14,$M69,BF$13)="",10^12,OFFSET(PLE!$G$14,$M69,BF$13))))</f>
        <v>1000000000000</v>
      </c>
      <c r="BG69" s="182">
        <f ca="1">IF($D69&lt;&gt;"Serviço",0,IF(OR(AND(AUTOEVENTO="Manual",$M69=1),$M69&gt;(ROW(PLE.lastrow)-ROW(PLE.firstrow))),0,IF(OFFSET(PLE!$G$14,$M69,BG$13)="",10^12,OFFSET(PLE!$G$14,$M69,BG$13))))</f>
        <v>1000000000000</v>
      </c>
    </row>
    <row r="70" spans="1:59" ht="12.75" x14ac:dyDescent="0.2">
      <c r="A70" s="7" t="str">
        <f t="shared" ca="1" si="8"/>
        <v>49</v>
      </c>
      <c r="B70" s="7" t="str">
        <f ca="1">OFFSET(ORÇAMENTO!C$15,ROW(B70)-ROW(B$15),0)</f>
        <v>S</v>
      </c>
      <c r="C70" s="7" t="str">
        <f ca="1">OFFSET(ORÇAMENTO!L$15,ROW(C70)-ROW(C$15),0)</f>
        <v>F</v>
      </c>
      <c r="D70" s="118" t="str">
        <f ca="1">OFFSET(ORÇAMENTO!N$15,ROW(D70)-ROW(D$15),0)</f>
        <v>Serviço</v>
      </c>
      <c r="E70" s="119" t="str">
        <f ca="1">OFFSET(ORÇAMENTO!O$15,ROW(E70)-ROW(E$15),0)</f>
        <v>2.3.6.</v>
      </c>
      <c r="F70" s="172" t="str">
        <f ca="1">OFFSET(ORÇAMENTO!R$15,ROW(F70)-ROW(F$15),0)</f>
        <v>BOCA DE LOBO COM GRADE 80X80 (INTERNA) - TIPO BL</v>
      </c>
      <c r="G70" s="173" t="str">
        <f ca="1">IF($D70&lt;&gt;"Serviço","",OFFSET(ORÇAMENTO!S$15,ROW(G70)-ROW(G$15),0))</f>
        <v>UNID.</v>
      </c>
      <c r="H70" s="124">
        <f ca="1">IF($D70&lt;&gt;"Serviço",0,IF(ACOMPANHAMENTO="BM",ROUND(OFFSET(ORÇAMENTO!AJ$15,ROW(H70)-ROW(H$15),0),15-13*ORÇAMENTO!$AF$7),SUMPRODUCT(($Q$12:$AA$12&lt;&gt;"")*ROUND($Q70:$AA70,15-13*ORÇAMENTO!$AF$7))))</f>
        <v>5</v>
      </c>
      <c r="I70" s="561"/>
      <c r="K70" s="174"/>
      <c r="L70" s="175" t="s">
        <v>255</v>
      </c>
      <c r="M70" s="176">
        <f ca="1">IF($D70&lt;&gt;"Serviço","",IF(AUTOEVENTO="manual",$A70,IF(ISERROR(MATCH($A70,$A$15:OFFSET($A70,-1,0),0)),MAX($M$15:OFFSET(M70,-1,0))+1,INDEX($M$15:OFFSET(M70,-1,0),MATCH($A70,$A$15:OFFSET($A70,-1,0),0)))))</f>
        <v>9</v>
      </c>
      <c r="N70" s="177" t="str">
        <f ca="1">IF($D70&lt;&gt;"Serviço","",IF(AUTOEVENTO="Manual",IF($A70=0,"&lt;-- defina o número do agrupador",OFFSET(EVENTOS!$D$14,$A70,0)),OFFSET($F$15,$A70,0)))</f>
        <v>DRENAGEM PLUVIAL</v>
      </c>
      <c r="O70" s="178"/>
      <c r="Q70" s="178"/>
      <c r="R70" s="179"/>
      <c r="S70" s="179"/>
      <c r="T70" s="179"/>
      <c r="U70" s="179"/>
      <c r="V70" s="179"/>
      <c r="W70" s="179"/>
      <c r="X70" s="179"/>
      <c r="Y70" s="179"/>
      <c r="Z70" s="180"/>
      <c r="AB70" s="544">
        <f ca="1">IF(AND($D70="Serviço",AB$12&lt;&gt;0,$H70&gt;0,OR(AUTOEVENTO&lt;&gt;"manual",$M70&lt;&gt;1)), IF(Import.TipoArredondamento&lt;&gt;"TransfereGOV", ROUND(OFFSET($P70,0,AB$13),15-13*ORÇAMENTO!$AF$7)/$H70*OFFSET(ORÇAMENTO!$X$15,ROW(AB70)-ROW(AB$15),0), ROUND(ROUND(OFFSET($P70,0,AB$13),15-13*ORÇAMENTO!$AF$7)*OFFSET(ORÇAMENTO!$W$15,ROW(AB70)-ROW(AB$15),0),15-13*ORÇAMENTO!$AF$11)),0)</f>
        <v>0</v>
      </c>
      <c r="AC70" s="545">
        <f ca="1">IF(AND($D70="Serviço",AC$12&lt;&gt;0,$H70&gt;0,OR(AUTOEVENTO&lt;&gt;"manual",$M70&lt;&gt;1)), IF(Import.TipoArredondamento&lt;&gt;"TransfereGOV", ROUND(OFFSET($P70,0,AC$13),15-13*ORÇAMENTO!$AF$7)/$H70*OFFSET(ORÇAMENTO!$X$15,ROW(AC70)-ROW(AC$15),0), ROUND(ROUND(OFFSET($P70,0,AC$13),15-13*ORÇAMENTO!$AF$7)*OFFSET(ORÇAMENTO!$W$15,ROW(AC70)-ROW(AC$15),0),15-13*ORÇAMENTO!$AF$11)),0)</f>
        <v>0</v>
      </c>
      <c r="AD70" s="545">
        <f ca="1">IF(AND($D70="Serviço",AD$12&lt;&gt;0,$H70&gt;0,OR(AUTOEVENTO&lt;&gt;"manual",$M70&lt;&gt;1)), IF(Import.TipoArredondamento&lt;&gt;"TransfereGOV", ROUND(OFFSET($P70,0,AD$13),15-13*ORÇAMENTO!$AF$7)/$H70*OFFSET(ORÇAMENTO!$X$15,ROW(AD70)-ROW(AD$15),0), ROUND(ROUND(OFFSET($P70,0,AD$13),15-13*ORÇAMENTO!$AF$7)*OFFSET(ORÇAMENTO!$W$15,ROW(AD70)-ROW(AD$15),0),15-13*ORÇAMENTO!$AF$11)),0)</f>
        <v>0</v>
      </c>
      <c r="AE70" s="545">
        <f ca="1">IF(AND($D70="Serviço",AE$12&lt;&gt;0,$H70&gt;0,OR(AUTOEVENTO&lt;&gt;"manual",$M70&lt;&gt;1)), IF(Import.TipoArredondamento&lt;&gt;"TransfereGOV", ROUND(OFFSET($P70,0,AE$13),15-13*ORÇAMENTO!$AF$7)/$H70*OFFSET(ORÇAMENTO!$X$15,ROW(AE70)-ROW(AE$15),0), ROUND(ROUND(OFFSET($P70,0,AE$13),15-13*ORÇAMENTO!$AF$7)*OFFSET(ORÇAMENTO!$W$15,ROW(AE70)-ROW(AE$15),0),15-13*ORÇAMENTO!$AF$11)),0)</f>
        <v>0</v>
      </c>
      <c r="AF70" s="545">
        <f ca="1">IF(AND($D70="Serviço",AF$12&lt;&gt;0,$H70&gt;0,OR(AUTOEVENTO&lt;&gt;"manual",$M70&lt;&gt;1)), IF(Import.TipoArredondamento&lt;&gt;"TransfereGOV", ROUND(OFFSET($P70,0,AF$13),15-13*ORÇAMENTO!$AF$7)/$H70*OFFSET(ORÇAMENTO!$X$15,ROW(AF70)-ROW(AF$15),0), ROUND(ROUND(OFFSET($P70,0,AF$13),15-13*ORÇAMENTO!$AF$7)*OFFSET(ORÇAMENTO!$W$15,ROW(AF70)-ROW(AF$15),0),15-13*ORÇAMENTO!$AF$11)),0)</f>
        <v>0</v>
      </c>
      <c r="AG70" s="545">
        <f ca="1">IF(AND($D70="Serviço",AG$12&lt;&gt;0,$H70&gt;0,OR(AUTOEVENTO&lt;&gt;"manual",$M70&lt;&gt;1)), IF(Import.TipoArredondamento&lt;&gt;"TransfereGOV", ROUND(OFFSET($P70,0,AG$13),15-13*ORÇAMENTO!$AF$7)/$H70*OFFSET(ORÇAMENTO!$X$15,ROW(AG70)-ROW(AG$15),0), ROUND(ROUND(OFFSET($P70,0,AG$13),15-13*ORÇAMENTO!$AF$7)*OFFSET(ORÇAMENTO!$W$15,ROW(AG70)-ROW(AG$15),0),15-13*ORÇAMENTO!$AF$11)),0)</f>
        <v>0</v>
      </c>
      <c r="AH70" s="545">
        <f ca="1">IF(AND($D70="Serviço",AH$12&lt;&gt;0,$H70&gt;0,OR(AUTOEVENTO&lt;&gt;"manual",$M70&lt;&gt;1)), IF(Import.TipoArredondamento&lt;&gt;"TransfereGOV", ROUND(OFFSET($P70,0,AH$13),15-13*ORÇAMENTO!$AF$7)/$H70*OFFSET(ORÇAMENTO!$X$15,ROW(AH70)-ROW(AH$15),0), ROUND(ROUND(OFFSET($P70,0,AH$13),15-13*ORÇAMENTO!$AF$7)*OFFSET(ORÇAMENTO!$W$15,ROW(AH70)-ROW(AH$15),0),15-13*ORÇAMENTO!$AF$11)),0)</f>
        <v>0</v>
      </c>
      <c r="AI70" s="545">
        <f ca="1">IF(AND($D70="Serviço",AI$12&lt;&gt;0,$H70&gt;0,OR(AUTOEVENTO&lt;&gt;"manual",$M70&lt;&gt;1)), IF(Import.TipoArredondamento&lt;&gt;"TransfereGOV", ROUND(OFFSET($P70,0,AI$13),15-13*ORÇAMENTO!$AF$7)/$H70*OFFSET(ORÇAMENTO!$X$15,ROW(AI70)-ROW(AI$15),0), ROUND(ROUND(OFFSET($P70,0,AI$13),15-13*ORÇAMENTO!$AF$7)*OFFSET(ORÇAMENTO!$W$15,ROW(AI70)-ROW(AI$15),0),15-13*ORÇAMENTO!$AF$11)),0)</f>
        <v>0</v>
      </c>
      <c r="AJ70" s="545">
        <f ca="1">IF(AND($D70="Serviço",AJ$12&lt;&gt;0,$H70&gt;0,OR(AUTOEVENTO&lt;&gt;"manual",$M70&lt;&gt;1)), IF(Import.TipoArredondamento&lt;&gt;"TransfereGOV", ROUND(OFFSET($P70,0,AJ$13),15-13*ORÇAMENTO!$AF$7)/$H70*OFFSET(ORÇAMENTO!$X$15,ROW(AJ70)-ROW(AJ$15),0), ROUND(ROUND(OFFSET($P70,0,AJ$13),15-13*ORÇAMENTO!$AF$7)*OFFSET(ORÇAMENTO!$W$15,ROW(AJ70)-ROW(AJ$15),0),15-13*ORÇAMENTO!$AF$11)),0)</f>
        <v>0</v>
      </c>
      <c r="AK70" s="546">
        <f ca="1">IF(AND($D70="Serviço",AK$12&lt;&gt;0,$H70&gt;0,OR(AUTOEVENTO&lt;&gt;"manual",$M70&lt;&gt;1)), IF(Import.TipoArredondamento&lt;&gt;"TransfereGOV", ROUND(OFFSET($P70,0,AK$13),15-13*ORÇAMENTO!$AF$7)/$H70*OFFSET(ORÇAMENTO!$X$15,ROW(AK70)-ROW(AK$15),0), ROUND(ROUND(OFFSET($P70,0,AK$13),15-13*ORÇAMENTO!$AF$7)*OFFSET(ORÇAMENTO!$W$15,ROW(AK70)-ROW(AK$15),0),15-13*ORÇAMENTO!$AF$11)),0)</f>
        <v>0</v>
      </c>
      <c r="AM70" s="181">
        <f ca="1">IF($D70&lt;&gt;"Serviço",0,IF(AND(AUTOEVENTO="Manual",$M70=1),0,IF(OFFSET(CRONOPLE!$F$14,$M70,AM$13)="",10^12,OFFSET(CRONOPLE!$F$14,$M70,AM$13))))</f>
        <v>1000000000000</v>
      </c>
      <c r="AN70" s="181">
        <f ca="1">IF($D70&lt;&gt;"Serviço",0,IF(AND(AUTOEVENTO="Manual",$M70=1),0,IF(OFFSET(CRONOPLE!$F$14,$M70,AN$13)="",10^12,OFFSET(CRONOPLE!$F$14,$M70,AN$13))))</f>
        <v>1000000000000</v>
      </c>
      <c r="AO70" s="181">
        <f ca="1">IF($D70&lt;&gt;"Serviço",0,IF(AND(AUTOEVENTO="Manual",$M70=1),0,IF(OFFSET(CRONOPLE!$F$14,$M70,AO$13)="",10^12,OFFSET(CRONOPLE!$F$14,$M70,AO$13))))</f>
        <v>1000000000000</v>
      </c>
      <c r="AP70" s="181">
        <f ca="1">IF($D70&lt;&gt;"Serviço",0,IF(AND(AUTOEVENTO="Manual",$M70=1),0,IF(OFFSET(CRONOPLE!$F$14,$M70,AP$13)="",10^12,OFFSET(CRONOPLE!$F$14,$M70,AP$13))))</f>
        <v>1000000000000</v>
      </c>
      <c r="AQ70" s="181">
        <f ca="1">IF($D70&lt;&gt;"Serviço",0,IF(AND(AUTOEVENTO="Manual",$M70=1),0,IF(OFFSET(CRONOPLE!$F$14,$M70,AQ$13)="",10^12,OFFSET(CRONOPLE!$F$14,$M70,AQ$13))))</f>
        <v>1000000000000</v>
      </c>
      <c r="AR70" s="181">
        <f ca="1">IF($D70&lt;&gt;"Serviço",0,IF(AND(AUTOEVENTO="Manual",$M70=1),0,IF(OFFSET(CRONOPLE!$F$14,$M70,AR$13)="",10^12,OFFSET(CRONOPLE!$F$14,$M70,AR$13))))</f>
        <v>1000000000000</v>
      </c>
      <c r="AS70" s="181">
        <f ca="1">IF($D70&lt;&gt;"Serviço",0,IF(AND(AUTOEVENTO="Manual",$M70=1),0,IF(OFFSET(CRONOPLE!$F$14,$M70,AS$13)="",10^12,OFFSET(CRONOPLE!$F$14,$M70,AS$13))))</f>
        <v>1000000000000</v>
      </c>
      <c r="AT70" s="181">
        <f ca="1">IF($D70&lt;&gt;"Serviço",0,IF(AND(AUTOEVENTO="Manual",$M70=1),0,IF(OFFSET(CRONOPLE!$F$14,$M70,AT$13)="",10^12,OFFSET(CRONOPLE!$F$14,$M70,AT$13))))</f>
        <v>1000000000000</v>
      </c>
      <c r="AU70" s="181">
        <f ca="1">IF($D70&lt;&gt;"Serviço",0,IF(AND(AUTOEVENTO="Manual",$M70=1),0,IF(OFFSET(CRONOPLE!$F$14,$M70,AU$13)="",10^12,OFFSET(CRONOPLE!$F$14,$M70,AU$13))))</f>
        <v>1000000000000</v>
      </c>
      <c r="AV70" s="181">
        <f ca="1">IF($D70&lt;&gt;"Serviço",0,IF(AND(AUTOEVENTO="Manual",$M70=1),0,IF(OFFSET(CRONOPLE!$F$14,$M70,AV$13)="",10^12,OFFSET(CRONOPLE!$F$14,$M70,AV$13))))</f>
        <v>1000000000000</v>
      </c>
      <c r="AX70" s="182">
        <f ca="1">IF($D70&lt;&gt;"Serviço",0,IF(OR(AND(AUTOEVENTO="Manual",$M70=1),$M70&gt;(ROW(PLE.lastrow)-ROW(PLE.firstrow))),0,IF(OFFSET(PLE!$G$14,$M70,AX$13)="",10^12,OFFSET(PLE!$G$14,$M70,AX$13))))</f>
        <v>1000000000000</v>
      </c>
      <c r="AY70" s="182">
        <f ca="1">IF($D70&lt;&gt;"Serviço",0,IF(OR(AND(AUTOEVENTO="Manual",$M70=1),$M70&gt;(ROW(PLE.lastrow)-ROW(PLE.firstrow))),0,IF(OFFSET(PLE!$G$14,$M70,AY$13)="",10^12,OFFSET(PLE!$G$14,$M70,AY$13))))</f>
        <v>1000000000000</v>
      </c>
      <c r="AZ70" s="182">
        <f ca="1">IF($D70&lt;&gt;"Serviço",0,IF(OR(AND(AUTOEVENTO="Manual",$M70=1),$M70&gt;(ROW(PLE.lastrow)-ROW(PLE.firstrow))),0,IF(OFFSET(PLE!$G$14,$M70,AZ$13)="",10^12,OFFSET(PLE!$G$14,$M70,AZ$13))))</f>
        <v>1000000000000</v>
      </c>
      <c r="BA70" s="182">
        <f ca="1">IF($D70&lt;&gt;"Serviço",0,IF(OR(AND(AUTOEVENTO="Manual",$M70=1),$M70&gt;(ROW(PLE.lastrow)-ROW(PLE.firstrow))),0,IF(OFFSET(PLE!$G$14,$M70,BA$13)="",10^12,OFFSET(PLE!$G$14,$M70,BA$13))))</f>
        <v>1000000000000</v>
      </c>
      <c r="BB70" s="182">
        <f ca="1">IF($D70&lt;&gt;"Serviço",0,IF(OR(AND(AUTOEVENTO="Manual",$M70=1),$M70&gt;(ROW(PLE.lastrow)-ROW(PLE.firstrow))),0,IF(OFFSET(PLE!$G$14,$M70,BB$13)="",10^12,OFFSET(PLE!$G$14,$M70,BB$13))))</f>
        <v>1000000000000</v>
      </c>
      <c r="BC70" s="182">
        <f ca="1">IF($D70&lt;&gt;"Serviço",0,IF(OR(AND(AUTOEVENTO="Manual",$M70=1),$M70&gt;(ROW(PLE.lastrow)-ROW(PLE.firstrow))),0,IF(OFFSET(PLE!$G$14,$M70,BC$13)="",10^12,OFFSET(PLE!$G$14,$M70,BC$13))))</f>
        <v>1000000000000</v>
      </c>
      <c r="BD70" s="182">
        <f ca="1">IF($D70&lt;&gt;"Serviço",0,IF(OR(AND(AUTOEVENTO="Manual",$M70=1),$M70&gt;(ROW(PLE.lastrow)-ROW(PLE.firstrow))),0,IF(OFFSET(PLE!$G$14,$M70,BD$13)="",10^12,OFFSET(PLE!$G$14,$M70,BD$13))))</f>
        <v>1000000000000</v>
      </c>
      <c r="BE70" s="182">
        <f ca="1">IF($D70&lt;&gt;"Serviço",0,IF(OR(AND(AUTOEVENTO="Manual",$M70=1),$M70&gt;(ROW(PLE.lastrow)-ROW(PLE.firstrow))),0,IF(OFFSET(PLE!$G$14,$M70,BE$13)="",10^12,OFFSET(PLE!$G$14,$M70,BE$13))))</f>
        <v>1000000000000</v>
      </c>
      <c r="BF70" s="182">
        <f ca="1">IF($D70&lt;&gt;"Serviço",0,IF(OR(AND(AUTOEVENTO="Manual",$M70=1),$M70&gt;(ROW(PLE.lastrow)-ROW(PLE.firstrow))),0,IF(OFFSET(PLE!$G$14,$M70,BF$13)="",10^12,OFFSET(PLE!$G$14,$M70,BF$13))))</f>
        <v>1000000000000</v>
      </c>
      <c r="BG70" s="182">
        <f ca="1">IF($D70&lt;&gt;"Serviço",0,IF(OR(AND(AUTOEVENTO="Manual",$M70=1),$M70&gt;(ROW(PLE.lastrow)-ROW(PLE.firstrow))),0,IF(OFFSET(PLE!$G$14,$M70,BG$13)="",10^12,OFFSET(PLE!$G$14,$M70,BG$13))))</f>
        <v>1000000000000</v>
      </c>
    </row>
    <row r="71" spans="1:59" ht="25.5" x14ac:dyDescent="0.2">
      <c r="A71" s="7" t="str">
        <f t="shared" ca="1" si="8"/>
        <v>49</v>
      </c>
      <c r="B71" s="7" t="str">
        <f ca="1">OFFSET(ORÇAMENTO!C$15,ROW(B71)-ROW(B$15),0)</f>
        <v>S</v>
      </c>
      <c r="C71" s="7" t="str">
        <f ca="1">OFFSET(ORÇAMENTO!L$15,ROW(C71)-ROW(C$15),0)</f>
        <v>F</v>
      </c>
      <c r="D71" s="118" t="str">
        <f ca="1">OFFSET(ORÇAMENTO!N$15,ROW(D71)-ROW(D$15),0)</f>
        <v>Serviço</v>
      </c>
      <c r="E71" s="119" t="str">
        <f ca="1">OFFSET(ORÇAMENTO!O$15,ROW(E71)-ROW(E$15),0)</f>
        <v>2.3.7.</v>
      </c>
      <c r="F71" s="172" t="str">
        <f ca="1">OFFSET(ORÇAMENTO!R$15,ROW(F71)-ROW(F$15),0)</f>
        <v>SARJETA DE CONCRETO MOLDADA IN LOCO, CONCRETO USINADO 30X5 CM</v>
      </c>
      <c r="G71" s="173" t="str">
        <f ca="1">IF($D71&lt;&gt;"Serviço","",OFFSET(ORÇAMENTO!S$15,ROW(G71)-ROW(G$15),0))</f>
        <v>M</v>
      </c>
      <c r="H71" s="124">
        <f ca="1">IF($D71&lt;&gt;"Serviço",0,IF(ACOMPANHAMENTO="BM",ROUND(OFFSET(ORÇAMENTO!AJ$15,ROW(H71)-ROW(H$15),0),15-13*ORÇAMENTO!$AF$7),SUMPRODUCT(($Q$12:$AA$12&lt;&gt;"")*ROUND($Q71:$AA71,15-13*ORÇAMENTO!$AF$7))))</f>
        <v>740</v>
      </c>
      <c r="I71" s="561"/>
      <c r="K71" s="174"/>
      <c r="L71" s="175" t="s">
        <v>255</v>
      </c>
      <c r="M71" s="176">
        <f ca="1">IF($D71&lt;&gt;"Serviço","",IF(AUTOEVENTO="manual",$A71,IF(ISERROR(MATCH($A71,$A$15:OFFSET($A71,-1,0),0)),MAX($M$15:OFFSET(M71,-1,0))+1,INDEX($M$15:OFFSET(M71,-1,0),MATCH($A71,$A$15:OFFSET($A71,-1,0),0)))))</f>
        <v>9</v>
      </c>
      <c r="N71" s="177" t="str">
        <f ca="1">IF($D71&lt;&gt;"Serviço","",IF(AUTOEVENTO="Manual",IF($A71=0,"&lt;-- defina o número do agrupador",OFFSET(EVENTOS!$D$14,$A71,0)),OFFSET($F$15,$A71,0)))</f>
        <v>DRENAGEM PLUVIAL</v>
      </c>
      <c r="O71" s="178"/>
      <c r="Q71" s="178"/>
      <c r="R71" s="179"/>
      <c r="S71" s="179"/>
      <c r="T71" s="179"/>
      <c r="U71" s="179"/>
      <c r="V71" s="179"/>
      <c r="W71" s="179"/>
      <c r="X71" s="179"/>
      <c r="Y71" s="179"/>
      <c r="Z71" s="180"/>
      <c r="AB71" s="544">
        <f ca="1">IF(AND($D71="Serviço",AB$12&lt;&gt;0,$H71&gt;0,OR(AUTOEVENTO&lt;&gt;"manual",$M71&lt;&gt;1)), IF(Import.TipoArredondamento&lt;&gt;"TransfereGOV", ROUND(OFFSET($P71,0,AB$13),15-13*ORÇAMENTO!$AF$7)/$H71*OFFSET(ORÇAMENTO!$X$15,ROW(AB71)-ROW(AB$15),0), ROUND(ROUND(OFFSET($P71,0,AB$13),15-13*ORÇAMENTO!$AF$7)*OFFSET(ORÇAMENTO!$W$15,ROW(AB71)-ROW(AB$15),0),15-13*ORÇAMENTO!$AF$11)),0)</f>
        <v>0</v>
      </c>
      <c r="AC71" s="545">
        <f ca="1">IF(AND($D71="Serviço",AC$12&lt;&gt;0,$H71&gt;0,OR(AUTOEVENTO&lt;&gt;"manual",$M71&lt;&gt;1)), IF(Import.TipoArredondamento&lt;&gt;"TransfereGOV", ROUND(OFFSET($P71,0,AC$13),15-13*ORÇAMENTO!$AF$7)/$H71*OFFSET(ORÇAMENTO!$X$15,ROW(AC71)-ROW(AC$15),0), ROUND(ROUND(OFFSET($P71,0,AC$13),15-13*ORÇAMENTO!$AF$7)*OFFSET(ORÇAMENTO!$W$15,ROW(AC71)-ROW(AC$15),0),15-13*ORÇAMENTO!$AF$11)),0)</f>
        <v>0</v>
      </c>
      <c r="AD71" s="545">
        <f ca="1">IF(AND($D71="Serviço",AD$12&lt;&gt;0,$H71&gt;0,OR(AUTOEVENTO&lt;&gt;"manual",$M71&lt;&gt;1)), IF(Import.TipoArredondamento&lt;&gt;"TransfereGOV", ROUND(OFFSET($P71,0,AD$13),15-13*ORÇAMENTO!$AF$7)/$H71*OFFSET(ORÇAMENTO!$X$15,ROW(AD71)-ROW(AD$15),0), ROUND(ROUND(OFFSET($P71,0,AD$13),15-13*ORÇAMENTO!$AF$7)*OFFSET(ORÇAMENTO!$W$15,ROW(AD71)-ROW(AD$15),0),15-13*ORÇAMENTO!$AF$11)),0)</f>
        <v>0</v>
      </c>
      <c r="AE71" s="545">
        <f ca="1">IF(AND($D71="Serviço",AE$12&lt;&gt;0,$H71&gt;0,OR(AUTOEVENTO&lt;&gt;"manual",$M71&lt;&gt;1)), IF(Import.TipoArredondamento&lt;&gt;"TransfereGOV", ROUND(OFFSET($P71,0,AE$13),15-13*ORÇAMENTO!$AF$7)/$H71*OFFSET(ORÇAMENTO!$X$15,ROW(AE71)-ROW(AE$15),0), ROUND(ROUND(OFFSET($P71,0,AE$13),15-13*ORÇAMENTO!$AF$7)*OFFSET(ORÇAMENTO!$W$15,ROW(AE71)-ROW(AE$15),0),15-13*ORÇAMENTO!$AF$11)),0)</f>
        <v>0</v>
      </c>
      <c r="AF71" s="545">
        <f ca="1">IF(AND($D71="Serviço",AF$12&lt;&gt;0,$H71&gt;0,OR(AUTOEVENTO&lt;&gt;"manual",$M71&lt;&gt;1)), IF(Import.TipoArredondamento&lt;&gt;"TransfereGOV", ROUND(OFFSET($P71,0,AF$13),15-13*ORÇAMENTO!$AF$7)/$H71*OFFSET(ORÇAMENTO!$X$15,ROW(AF71)-ROW(AF$15),0), ROUND(ROUND(OFFSET($P71,0,AF$13),15-13*ORÇAMENTO!$AF$7)*OFFSET(ORÇAMENTO!$W$15,ROW(AF71)-ROW(AF$15),0),15-13*ORÇAMENTO!$AF$11)),0)</f>
        <v>0</v>
      </c>
      <c r="AG71" s="545">
        <f ca="1">IF(AND($D71="Serviço",AG$12&lt;&gt;0,$H71&gt;0,OR(AUTOEVENTO&lt;&gt;"manual",$M71&lt;&gt;1)), IF(Import.TipoArredondamento&lt;&gt;"TransfereGOV", ROUND(OFFSET($P71,0,AG$13),15-13*ORÇAMENTO!$AF$7)/$H71*OFFSET(ORÇAMENTO!$X$15,ROW(AG71)-ROW(AG$15),0), ROUND(ROUND(OFFSET($P71,0,AG$13),15-13*ORÇAMENTO!$AF$7)*OFFSET(ORÇAMENTO!$W$15,ROW(AG71)-ROW(AG$15),0),15-13*ORÇAMENTO!$AF$11)),0)</f>
        <v>0</v>
      </c>
      <c r="AH71" s="545">
        <f ca="1">IF(AND($D71="Serviço",AH$12&lt;&gt;0,$H71&gt;0,OR(AUTOEVENTO&lt;&gt;"manual",$M71&lt;&gt;1)), IF(Import.TipoArredondamento&lt;&gt;"TransfereGOV", ROUND(OFFSET($P71,0,AH$13),15-13*ORÇAMENTO!$AF$7)/$H71*OFFSET(ORÇAMENTO!$X$15,ROW(AH71)-ROW(AH$15),0), ROUND(ROUND(OFFSET($P71,0,AH$13),15-13*ORÇAMENTO!$AF$7)*OFFSET(ORÇAMENTO!$W$15,ROW(AH71)-ROW(AH$15),0),15-13*ORÇAMENTO!$AF$11)),0)</f>
        <v>0</v>
      </c>
      <c r="AI71" s="545">
        <f ca="1">IF(AND($D71="Serviço",AI$12&lt;&gt;0,$H71&gt;0,OR(AUTOEVENTO&lt;&gt;"manual",$M71&lt;&gt;1)), IF(Import.TipoArredondamento&lt;&gt;"TransfereGOV", ROUND(OFFSET($P71,0,AI$13),15-13*ORÇAMENTO!$AF$7)/$H71*OFFSET(ORÇAMENTO!$X$15,ROW(AI71)-ROW(AI$15),0), ROUND(ROUND(OFFSET($P71,0,AI$13),15-13*ORÇAMENTO!$AF$7)*OFFSET(ORÇAMENTO!$W$15,ROW(AI71)-ROW(AI$15),0),15-13*ORÇAMENTO!$AF$11)),0)</f>
        <v>0</v>
      </c>
      <c r="AJ71" s="545">
        <f ca="1">IF(AND($D71="Serviço",AJ$12&lt;&gt;0,$H71&gt;0,OR(AUTOEVENTO&lt;&gt;"manual",$M71&lt;&gt;1)), IF(Import.TipoArredondamento&lt;&gt;"TransfereGOV", ROUND(OFFSET($P71,0,AJ$13),15-13*ORÇAMENTO!$AF$7)/$H71*OFFSET(ORÇAMENTO!$X$15,ROW(AJ71)-ROW(AJ$15),0), ROUND(ROUND(OFFSET($P71,0,AJ$13),15-13*ORÇAMENTO!$AF$7)*OFFSET(ORÇAMENTO!$W$15,ROW(AJ71)-ROW(AJ$15),0),15-13*ORÇAMENTO!$AF$11)),0)</f>
        <v>0</v>
      </c>
      <c r="AK71" s="546">
        <f ca="1">IF(AND($D71="Serviço",AK$12&lt;&gt;0,$H71&gt;0,OR(AUTOEVENTO&lt;&gt;"manual",$M71&lt;&gt;1)), IF(Import.TipoArredondamento&lt;&gt;"TransfereGOV", ROUND(OFFSET($P71,0,AK$13),15-13*ORÇAMENTO!$AF$7)/$H71*OFFSET(ORÇAMENTO!$X$15,ROW(AK71)-ROW(AK$15),0), ROUND(ROUND(OFFSET($P71,0,AK$13),15-13*ORÇAMENTO!$AF$7)*OFFSET(ORÇAMENTO!$W$15,ROW(AK71)-ROW(AK$15),0),15-13*ORÇAMENTO!$AF$11)),0)</f>
        <v>0</v>
      </c>
      <c r="AM71" s="181">
        <f ca="1">IF($D71&lt;&gt;"Serviço",0,IF(AND(AUTOEVENTO="Manual",$M71=1),0,IF(OFFSET(CRONOPLE!$F$14,$M71,AM$13)="",10^12,OFFSET(CRONOPLE!$F$14,$M71,AM$13))))</f>
        <v>1000000000000</v>
      </c>
      <c r="AN71" s="181">
        <f ca="1">IF($D71&lt;&gt;"Serviço",0,IF(AND(AUTOEVENTO="Manual",$M71=1),0,IF(OFFSET(CRONOPLE!$F$14,$M71,AN$13)="",10^12,OFFSET(CRONOPLE!$F$14,$M71,AN$13))))</f>
        <v>1000000000000</v>
      </c>
      <c r="AO71" s="181">
        <f ca="1">IF($D71&lt;&gt;"Serviço",0,IF(AND(AUTOEVENTO="Manual",$M71=1),0,IF(OFFSET(CRONOPLE!$F$14,$M71,AO$13)="",10^12,OFFSET(CRONOPLE!$F$14,$M71,AO$13))))</f>
        <v>1000000000000</v>
      </c>
      <c r="AP71" s="181">
        <f ca="1">IF($D71&lt;&gt;"Serviço",0,IF(AND(AUTOEVENTO="Manual",$M71=1),0,IF(OFFSET(CRONOPLE!$F$14,$M71,AP$13)="",10^12,OFFSET(CRONOPLE!$F$14,$M71,AP$13))))</f>
        <v>1000000000000</v>
      </c>
      <c r="AQ71" s="181">
        <f ca="1">IF($D71&lt;&gt;"Serviço",0,IF(AND(AUTOEVENTO="Manual",$M71=1),0,IF(OFFSET(CRONOPLE!$F$14,$M71,AQ$13)="",10^12,OFFSET(CRONOPLE!$F$14,$M71,AQ$13))))</f>
        <v>1000000000000</v>
      </c>
      <c r="AR71" s="181">
        <f ca="1">IF($D71&lt;&gt;"Serviço",0,IF(AND(AUTOEVENTO="Manual",$M71=1),0,IF(OFFSET(CRONOPLE!$F$14,$M71,AR$13)="",10^12,OFFSET(CRONOPLE!$F$14,$M71,AR$13))))</f>
        <v>1000000000000</v>
      </c>
      <c r="AS71" s="181">
        <f ca="1">IF($D71&lt;&gt;"Serviço",0,IF(AND(AUTOEVENTO="Manual",$M71=1),0,IF(OFFSET(CRONOPLE!$F$14,$M71,AS$13)="",10^12,OFFSET(CRONOPLE!$F$14,$M71,AS$13))))</f>
        <v>1000000000000</v>
      </c>
      <c r="AT71" s="181">
        <f ca="1">IF($D71&lt;&gt;"Serviço",0,IF(AND(AUTOEVENTO="Manual",$M71=1),0,IF(OFFSET(CRONOPLE!$F$14,$M71,AT$13)="",10^12,OFFSET(CRONOPLE!$F$14,$M71,AT$13))))</f>
        <v>1000000000000</v>
      </c>
      <c r="AU71" s="181">
        <f ca="1">IF($D71&lt;&gt;"Serviço",0,IF(AND(AUTOEVENTO="Manual",$M71=1),0,IF(OFFSET(CRONOPLE!$F$14,$M71,AU$13)="",10^12,OFFSET(CRONOPLE!$F$14,$M71,AU$13))))</f>
        <v>1000000000000</v>
      </c>
      <c r="AV71" s="181">
        <f ca="1">IF($D71&lt;&gt;"Serviço",0,IF(AND(AUTOEVENTO="Manual",$M71=1),0,IF(OFFSET(CRONOPLE!$F$14,$M71,AV$13)="",10^12,OFFSET(CRONOPLE!$F$14,$M71,AV$13))))</f>
        <v>1000000000000</v>
      </c>
      <c r="AX71" s="182">
        <f ca="1">IF($D71&lt;&gt;"Serviço",0,IF(OR(AND(AUTOEVENTO="Manual",$M71=1),$M71&gt;(ROW(PLE.lastrow)-ROW(PLE.firstrow))),0,IF(OFFSET(PLE!$G$14,$M71,AX$13)="",10^12,OFFSET(PLE!$G$14,$M71,AX$13))))</f>
        <v>1000000000000</v>
      </c>
      <c r="AY71" s="182">
        <f ca="1">IF($D71&lt;&gt;"Serviço",0,IF(OR(AND(AUTOEVENTO="Manual",$M71=1),$M71&gt;(ROW(PLE.lastrow)-ROW(PLE.firstrow))),0,IF(OFFSET(PLE!$G$14,$M71,AY$13)="",10^12,OFFSET(PLE!$G$14,$M71,AY$13))))</f>
        <v>1000000000000</v>
      </c>
      <c r="AZ71" s="182">
        <f ca="1">IF($D71&lt;&gt;"Serviço",0,IF(OR(AND(AUTOEVENTO="Manual",$M71=1),$M71&gt;(ROW(PLE.lastrow)-ROW(PLE.firstrow))),0,IF(OFFSET(PLE!$G$14,$M71,AZ$13)="",10^12,OFFSET(PLE!$G$14,$M71,AZ$13))))</f>
        <v>1000000000000</v>
      </c>
      <c r="BA71" s="182">
        <f ca="1">IF($D71&lt;&gt;"Serviço",0,IF(OR(AND(AUTOEVENTO="Manual",$M71=1),$M71&gt;(ROW(PLE.lastrow)-ROW(PLE.firstrow))),0,IF(OFFSET(PLE!$G$14,$M71,BA$13)="",10^12,OFFSET(PLE!$G$14,$M71,BA$13))))</f>
        <v>1000000000000</v>
      </c>
      <c r="BB71" s="182">
        <f ca="1">IF($D71&lt;&gt;"Serviço",0,IF(OR(AND(AUTOEVENTO="Manual",$M71=1),$M71&gt;(ROW(PLE.lastrow)-ROW(PLE.firstrow))),0,IF(OFFSET(PLE!$G$14,$M71,BB$13)="",10^12,OFFSET(PLE!$G$14,$M71,BB$13))))</f>
        <v>1000000000000</v>
      </c>
      <c r="BC71" s="182">
        <f ca="1">IF($D71&lt;&gt;"Serviço",0,IF(OR(AND(AUTOEVENTO="Manual",$M71=1),$M71&gt;(ROW(PLE.lastrow)-ROW(PLE.firstrow))),0,IF(OFFSET(PLE!$G$14,$M71,BC$13)="",10^12,OFFSET(PLE!$G$14,$M71,BC$13))))</f>
        <v>1000000000000</v>
      </c>
      <c r="BD71" s="182">
        <f ca="1">IF($D71&lt;&gt;"Serviço",0,IF(OR(AND(AUTOEVENTO="Manual",$M71=1),$M71&gt;(ROW(PLE.lastrow)-ROW(PLE.firstrow))),0,IF(OFFSET(PLE!$G$14,$M71,BD$13)="",10^12,OFFSET(PLE!$G$14,$M71,BD$13))))</f>
        <v>1000000000000</v>
      </c>
      <c r="BE71" s="182">
        <f ca="1">IF($D71&lt;&gt;"Serviço",0,IF(OR(AND(AUTOEVENTO="Manual",$M71=1),$M71&gt;(ROW(PLE.lastrow)-ROW(PLE.firstrow))),0,IF(OFFSET(PLE!$G$14,$M71,BE$13)="",10^12,OFFSET(PLE!$G$14,$M71,BE$13))))</f>
        <v>1000000000000</v>
      </c>
      <c r="BF71" s="182">
        <f ca="1">IF($D71&lt;&gt;"Serviço",0,IF(OR(AND(AUTOEVENTO="Manual",$M71=1),$M71&gt;(ROW(PLE.lastrow)-ROW(PLE.firstrow))),0,IF(OFFSET(PLE!$G$14,$M71,BF$13)="",10^12,OFFSET(PLE!$G$14,$M71,BF$13))))</f>
        <v>1000000000000</v>
      </c>
      <c r="BG71" s="182">
        <f ca="1">IF($D71&lt;&gt;"Serviço",0,IF(OR(AND(AUTOEVENTO="Manual",$M71=1),$M71&gt;(ROW(PLE.lastrow)-ROW(PLE.firstrow))),0,IF(OFFSET(PLE!$G$14,$M71,BG$13)="",10^12,OFFSET(PLE!$G$14,$M71,BG$13))))</f>
        <v>1000000000000</v>
      </c>
    </row>
    <row r="72" spans="1:59" ht="51" x14ac:dyDescent="0.2">
      <c r="A72" s="7" t="str">
        <f t="shared" ca="1" si="8"/>
        <v>49</v>
      </c>
      <c r="B72" s="7" t="str">
        <f ca="1">OFFSET(ORÇAMENTO!C$15,ROW(B72)-ROW(B$15),0)</f>
        <v>S</v>
      </c>
      <c r="C72" s="7" t="str">
        <f ca="1">OFFSET(ORÇAMENTO!L$15,ROW(C72)-ROW(C$15),0)</f>
        <v>F</v>
      </c>
      <c r="D72" s="118" t="str">
        <f ca="1">OFFSET(ORÇAMENTO!N$15,ROW(D72)-ROW(D$15),0)</f>
        <v>Serviço</v>
      </c>
      <c r="E72" s="119" t="str">
        <f ca="1">OFFSET(ORÇAMENTO!O$15,ROW(E72)-ROW(E$15),0)</f>
        <v>2.3.8.</v>
      </c>
      <c r="F72" s="172" t="str">
        <f ca="1">OFFSET(ORÇAMENTO!R$15,ROW(F72)-ROW(F$15),0)</f>
        <v>ASSENTAMENTO DE GUIA (MEIO-FIO) EM TRECHO RETO, CONFECCIONADA EM CONCRETO PRÉ-FABRICADO, DIMENSÕES 100X15X13X30 CM (COMPRIMENTO X BASE INFERIOR X BASE SUPERIOR X ALTURA). AF_01/2024</v>
      </c>
      <c r="G72" s="173" t="str">
        <f ca="1">IF($D72&lt;&gt;"Serviço","",OFFSET(ORÇAMENTO!S$15,ROW(G72)-ROW(G$15),0))</f>
        <v>M</v>
      </c>
      <c r="H72" s="124">
        <f ca="1">IF($D72&lt;&gt;"Serviço",0,IF(ACOMPANHAMENTO="BM",ROUND(OFFSET(ORÇAMENTO!AJ$15,ROW(H72)-ROW(H$15),0),15-13*ORÇAMENTO!$AF$7),SUMPRODUCT(($Q$12:$AA$12&lt;&gt;"")*ROUND($Q72:$AA72,15-13*ORÇAMENTO!$AF$7))))</f>
        <v>96</v>
      </c>
      <c r="I72" s="561"/>
      <c r="K72" s="174"/>
      <c r="L72" s="175" t="s">
        <v>255</v>
      </c>
      <c r="M72" s="176">
        <f ca="1">IF($D72&lt;&gt;"Serviço","",IF(AUTOEVENTO="manual",$A72,IF(ISERROR(MATCH($A72,$A$15:OFFSET($A72,-1,0),0)),MAX($M$15:OFFSET(M72,-1,0))+1,INDEX($M$15:OFFSET(M72,-1,0),MATCH($A72,$A$15:OFFSET($A72,-1,0),0)))))</f>
        <v>9</v>
      </c>
      <c r="N72" s="177" t="str">
        <f ca="1">IF($D72&lt;&gt;"Serviço","",IF(AUTOEVENTO="Manual",IF($A72=0,"&lt;-- defina o número do agrupador",OFFSET(EVENTOS!$D$14,$A72,0)),OFFSET($F$15,$A72,0)))</f>
        <v>DRENAGEM PLUVIAL</v>
      </c>
      <c r="O72" s="178"/>
      <c r="Q72" s="178"/>
      <c r="R72" s="179"/>
      <c r="S72" s="179"/>
      <c r="T72" s="179"/>
      <c r="U72" s="179"/>
      <c r="V72" s="179"/>
      <c r="W72" s="179"/>
      <c r="X72" s="179"/>
      <c r="Y72" s="179"/>
      <c r="Z72" s="180"/>
      <c r="AB72" s="544">
        <f ca="1">IF(AND($D72="Serviço",AB$12&lt;&gt;0,$H72&gt;0,OR(AUTOEVENTO&lt;&gt;"manual",$M72&lt;&gt;1)), IF(Import.TipoArredondamento&lt;&gt;"TransfereGOV", ROUND(OFFSET($P72,0,AB$13),15-13*ORÇAMENTO!$AF$7)/$H72*OFFSET(ORÇAMENTO!$X$15,ROW(AB72)-ROW(AB$15),0), ROUND(ROUND(OFFSET($P72,0,AB$13),15-13*ORÇAMENTO!$AF$7)*OFFSET(ORÇAMENTO!$W$15,ROW(AB72)-ROW(AB$15),0),15-13*ORÇAMENTO!$AF$11)),0)</f>
        <v>0</v>
      </c>
      <c r="AC72" s="545">
        <f ca="1">IF(AND($D72="Serviço",AC$12&lt;&gt;0,$H72&gt;0,OR(AUTOEVENTO&lt;&gt;"manual",$M72&lt;&gt;1)), IF(Import.TipoArredondamento&lt;&gt;"TransfereGOV", ROUND(OFFSET($P72,0,AC$13),15-13*ORÇAMENTO!$AF$7)/$H72*OFFSET(ORÇAMENTO!$X$15,ROW(AC72)-ROW(AC$15),0), ROUND(ROUND(OFFSET($P72,0,AC$13),15-13*ORÇAMENTO!$AF$7)*OFFSET(ORÇAMENTO!$W$15,ROW(AC72)-ROW(AC$15),0),15-13*ORÇAMENTO!$AF$11)),0)</f>
        <v>0</v>
      </c>
      <c r="AD72" s="545">
        <f ca="1">IF(AND($D72="Serviço",AD$12&lt;&gt;0,$H72&gt;0,OR(AUTOEVENTO&lt;&gt;"manual",$M72&lt;&gt;1)), IF(Import.TipoArredondamento&lt;&gt;"TransfereGOV", ROUND(OFFSET($P72,0,AD$13),15-13*ORÇAMENTO!$AF$7)/$H72*OFFSET(ORÇAMENTO!$X$15,ROW(AD72)-ROW(AD$15),0), ROUND(ROUND(OFFSET($P72,0,AD$13),15-13*ORÇAMENTO!$AF$7)*OFFSET(ORÇAMENTO!$W$15,ROW(AD72)-ROW(AD$15),0),15-13*ORÇAMENTO!$AF$11)),0)</f>
        <v>0</v>
      </c>
      <c r="AE72" s="545">
        <f ca="1">IF(AND($D72="Serviço",AE$12&lt;&gt;0,$H72&gt;0,OR(AUTOEVENTO&lt;&gt;"manual",$M72&lt;&gt;1)), IF(Import.TipoArredondamento&lt;&gt;"TransfereGOV", ROUND(OFFSET($P72,0,AE$13),15-13*ORÇAMENTO!$AF$7)/$H72*OFFSET(ORÇAMENTO!$X$15,ROW(AE72)-ROW(AE$15),0), ROUND(ROUND(OFFSET($P72,0,AE$13),15-13*ORÇAMENTO!$AF$7)*OFFSET(ORÇAMENTO!$W$15,ROW(AE72)-ROW(AE$15),0),15-13*ORÇAMENTO!$AF$11)),0)</f>
        <v>0</v>
      </c>
      <c r="AF72" s="545">
        <f ca="1">IF(AND($D72="Serviço",AF$12&lt;&gt;0,$H72&gt;0,OR(AUTOEVENTO&lt;&gt;"manual",$M72&lt;&gt;1)), IF(Import.TipoArredondamento&lt;&gt;"TransfereGOV", ROUND(OFFSET($P72,0,AF$13),15-13*ORÇAMENTO!$AF$7)/$H72*OFFSET(ORÇAMENTO!$X$15,ROW(AF72)-ROW(AF$15),0), ROUND(ROUND(OFFSET($P72,0,AF$13),15-13*ORÇAMENTO!$AF$7)*OFFSET(ORÇAMENTO!$W$15,ROW(AF72)-ROW(AF$15),0),15-13*ORÇAMENTO!$AF$11)),0)</f>
        <v>0</v>
      </c>
      <c r="AG72" s="545">
        <f ca="1">IF(AND($D72="Serviço",AG$12&lt;&gt;0,$H72&gt;0,OR(AUTOEVENTO&lt;&gt;"manual",$M72&lt;&gt;1)), IF(Import.TipoArredondamento&lt;&gt;"TransfereGOV", ROUND(OFFSET($P72,0,AG$13),15-13*ORÇAMENTO!$AF$7)/$H72*OFFSET(ORÇAMENTO!$X$15,ROW(AG72)-ROW(AG$15),0), ROUND(ROUND(OFFSET($P72,0,AG$13),15-13*ORÇAMENTO!$AF$7)*OFFSET(ORÇAMENTO!$W$15,ROW(AG72)-ROW(AG$15),0),15-13*ORÇAMENTO!$AF$11)),0)</f>
        <v>0</v>
      </c>
      <c r="AH72" s="545">
        <f ca="1">IF(AND($D72="Serviço",AH$12&lt;&gt;0,$H72&gt;0,OR(AUTOEVENTO&lt;&gt;"manual",$M72&lt;&gt;1)), IF(Import.TipoArredondamento&lt;&gt;"TransfereGOV", ROUND(OFFSET($P72,0,AH$13),15-13*ORÇAMENTO!$AF$7)/$H72*OFFSET(ORÇAMENTO!$X$15,ROW(AH72)-ROW(AH$15),0), ROUND(ROUND(OFFSET($P72,0,AH$13),15-13*ORÇAMENTO!$AF$7)*OFFSET(ORÇAMENTO!$W$15,ROW(AH72)-ROW(AH$15),0),15-13*ORÇAMENTO!$AF$11)),0)</f>
        <v>0</v>
      </c>
      <c r="AI72" s="545">
        <f ca="1">IF(AND($D72="Serviço",AI$12&lt;&gt;0,$H72&gt;0,OR(AUTOEVENTO&lt;&gt;"manual",$M72&lt;&gt;1)), IF(Import.TipoArredondamento&lt;&gt;"TransfereGOV", ROUND(OFFSET($P72,0,AI$13),15-13*ORÇAMENTO!$AF$7)/$H72*OFFSET(ORÇAMENTO!$X$15,ROW(AI72)-ROW(AI$15),0), ROUND(ROUND(OFFSET($P72,0,AI$13),15-13*ORÇAMENTO!$AF$7)*OFFSET(ORÇAMENTO!$W$15,ROW(AI72)-ROW(AI$15),0),15-13*ORÇAMENTO!$AF$11)),0)</f>
        <v>0</v>
      </c>
      <c r="AJ72" s="545">
        <f ca="1">IF(AND($D72="Serviço",AJ$12&lt;&gt;0,$H72&gt;0,OR(AUTOEVENTO&lt;&gt;"manual",$M72&lt;&gt;1)), IF(Import.TipoArredondamento&lt;&gt;"TransfereGOV", ROUND(OFFSET($P72,0,AJ$13),15-13*ORÇAMENTO!$AF$7)/$H72*OFFSET(ORÇAMENTO!$X$15,ROW(AJ72)-ROW(AJ$15),0), ROUND(ROUND(OFFSET($P72,0,AJ$13),15-13*ORÇAMENTO!$AF$7)*OFFSET(ORÇAMENTO!$W$15,ROW(AJ72)-ROW(AJ$15),0),15-13*ORÇAMENTO!$AF$11)),0)</f>
        <v>0</v>
      </c>
      <c r="AK72" s="546">
        <f ca="1">IF(AND($D72="Serviço",AK$12&lt;&gt;0,$H72&gt;0,OR(AUTOEVENTO&lt;&gt;"manual",$M72&lt;&gt;1)), IF(Import.TipoArredondamento&lt;&gt;"TransfereGOV", ROUND(OFFSET($P72,0,AK$13),15-13*ORÇAMENTO!$AF$7)/$H72*OFFSET(ORÇAMENTO!$X$15,ROW(AK72)-ROW(AK$15),0), ROUND(ROUND(OFFSET($P72,0,AK$13),15-13*ORÇAMENTO!$AF$7)*OFFSET(ORÇAMENTO!$W$15,ROW(AK72)-ROW(AK$15),0),15-13*ORÇAMENTO!$AF$11)),0)</f>
        <v>0</v>
      </c>
      <c r="AM72" s="181">
        <f ca="1">IF($D72&lt;&gt;"Serviço",0,IF(AND(AUTOEVENTO="Manual",$M72=1),0,IF(OFFSET(CRONOPLE!$F$14,$M72,AM$13)="",10^12,OFFSET(CRONOPLE!$F$14,$M72,AM$13))))</f>
        <v>1000000000000</v>
      </c>
      <c r="AN72" s="181">
        <f ca="1">IF($D72&lt;&gt;"Serviço",0,IF(AND(AUTOEVENTO="Manual",$M72=1),0,IF(OFFSET(CRONOPLE!$F$14,$M72,AN$13)="",10^12,OFFSET(CRONOPLE!$F$14,$M72,AN$13))))</f>
        <v>1000000000000</v>
      </c>
      <c r="AO72" s="181">
        <f ca="1">IF($D72&lt;&gt;"Serviço",0,IF(AND(AUTOEVENTO="Manual",$M72=1),0,IF(OFFSET(CRONOPLE!$F$14,$M72,AO$13)="",10^12,OFFSET(CRONOPLE!$F$14,$M72,AO$13))))</f>
        <v>1000000000000</v>
      </c>
      <c r="AP72" s="181">
        <f ca="1">IF($D72&lt;&gt;"Serviço",0,IF(AND(AUTOEVENTO="Manual",$M72=1),0,IF(OFFSET(CRONOPLE!$F$14,$M72,AP$13)="",10^12,OFFSET(CRONOPLE!$F$14,$M72,AP$13))))</f>
        <v>1000000000000</v>
      </c>
      <c r="AQ72" s="181">
        <f ca="1">IF($D72&lt;&gt;"Serviço",0,IF(AND(AUTOEVENTO="Manual",$M72=1),0,IF(OFFSET(CRONOPLE!$F$14,$M72,AQ$13)="",10^12,OFFSET(CRONOPLE!$F$14,$M72,AQ$13))))</f>
        <v>1000000000000</v>
      </c>
      <c r="AR72" s="181">
        <f ca="1">IF($D72&lt;&gt;"Serviço",0,IF(AND(AUTOEVENTO="Manual",$M72=1),0,IF(OFFSET(CRONOPLE!$F$14,$M72,AR$13)="",10^12,OFFSET(CRONOPLE!$F$14,$M72,AR$13))))</f>
        <v>1000000000000</v>
      </c>
      <c r="AS72" s="181">
        <f ca="1">IF($D72&lt;&gt;"Serviço",0,IF(AND(AUTOEVENTO="Manual",$M72=1),0,IF(OFFSET(CRONOPLE!$F$14,$M72,AS$13)="",10^12,OFFSET(CRONOPLE!$F$14,$M72,AS$13))))</f>
        <v>1000000000000</v>
      </c>
      <c r="AT72" s="181">
        <f ca="1">IF($D72&lt;&gt;"Serviço",0,IF(AND(AUTOEVENTO="Manual",$M72=1),0,IF(OFFSET(CRONOPLE!$F$14,$M72,AT$13)="",10^12,OFFSET(CRONOPLE!$F$14,$M72,AT$13))))</f>
        <v>1000000000000</v>
      </c>
      <c r="AU72" s="181">
        <f ca="1">IF($D72&lt;&gt;"Serviço",0,IF(AND(AUTOEVENTO="Manual",$M72=1),0,IF(OFFSET(CRONOPLE!$F$14,$M72,AU$13)="",10^12,OFFSET(CRONOPLE!$F$14,$M72,AU$13))))</f>
        <v>1000000000000</v>
      </c>
      <c r="AV72" s="181">
        <f ca="1">IF($D72&lt;&gt;"Serviço",0,IF(AND(AUTOEVENTO="Manual",$M72=1),0,IF(OFFSET(CRONOPLE!$F$14,$M72,AV$13)="",10^12,OFFSET(CRONOPLE!$F$14,$M72,AV$13))))</f>
        <v>1000000000000</v>
      </c>
      <c r="AX72" s="182">
        <f ca="1">IF($D72&lt;&gt;"Serviço",0,IF(OR(AND(AUTOEVENTO="Manual",$M72=1),$M72&gt;(ROW(PLE.lastrow)-ROW(PLE.firstrow))),0,IF(OFFSET(PLE!$G$14,$M72,AX$13)="",10^12,OFFSET(PLE!$G$14,$M72,AX$13))))</f>
        <v>1000000000000</v>
      </c>
      <c r="AY72" s="182">
        <f ca="1">IF($D72&lt;&gt;"Serviço",0,IF(OR(AND(AUTOEVENTO="Manual",$M72=1),$M72&gt;(ROW(PLE.lastrow)-ROW(PLE.firstrow))),0,IF(OFFSET(PLE!$G$14,$M72,AY$13)="",10^12,OFFSET(PLE!$G$14,$M72,AY$13))))</f>
        <v>1000000000000</v>
      </c>
      <c r="AZ72" s="182">
        <f ca="1">IF($D72&lt;&gt;"Serviço",0,IF(OR(AND(AUTOEVENTO="Manual",$M72=1),$M72&gt;(ROW(PLE.lastrow)-ROW(PLE.firstrow))),0,IF(OFFSET(PLE!$G$14,$M72,AZ$13)="",10^12,OFFSET(PLE!$G$14,$M72,AZ$13))))</f>
        <v>1000000000000</v>
      </c>
      <c r="BA72" s="182">
        <f ca="1">IF($D72&lt;&gt;"Serviço",0,IF(OR(AND(AUTOEVENTO="Manual",$M72=1),$M72&gt;(ROW(PLE.lastrow)-ROW(PLE.firstrow))),0,IF(OFFSET(PLE!$G$14,$M72,BA$13)="",10^12,OFFSET(PLE!$G$14,$M72,BA$13))))</f>
        <v>1000000000000</v>
      </c>
      <c r="BB72" s="182">
        <f ca="1">IF($D72&lt;&gt;"Serviço",0,IF(OR(AND(AUTOEVENTO="Manual",$M72=1),$M72&gt;(ROW(PLE.lastrow)-ROW(PLE.firstrow))),0,IF(OFFSET(PLE!$G$14,$M72,BB$13)="",10^12,OFFSET(PLE!$G$14,$M72,BB$13))))</f>
        <v>1000000000000</v>
      </c>
      <c r="BC72" s="182">
        <f ca="1">IF($D72&lt;&gt;"Serviço",0,IF(OR(AND(AUTOEVENTO="Manual",$M72=1),$M72&gt;(ROW(PLE.lastrow)-ROW(PLE.firstrow))),0,IF(OFFSET(PLE!$G$14,$M72,BC$13)="",10^12,OFFSET(PLE!$G$14,$M72,BC$13))))</f>
        <v>1000000000000</v>
      </c>
      <c r="BD72" s="182">
        <f ca="1">IF($D72&lt;&gt;"Serviço",0,IF(OR(AND(AUTOEVENTO="Manual",$M72=1),$M72&gt;(ROW(PLE.lastrow)-ROW(PLE.firstrow))),0,IF(OFFSET(PLE!$G$14,$M72,BD$13)="",10^12,OFFSET(PLE!$G$14,$M72,BD$13))))</f>
        <v>1000000000000</v>
      </c>
      <c r="BE72" s="182">
        <f ca="1">IF($D72&lt;&gt;"Serviço",0,IF(OR(AND(AUTOEVENTO="Manual",$M72=1),$M72&gt;(ROW(PLE.lastrow)-ROW(PLE.firstrow))),0,IF(OFFSET(PLE!$G$14,$M72,BE$13)="",10^12,OFFSET(PLE!$G$14,$M72,BE$13))))</f>
        <v>1000000000000</v>
      </c>
      <c r="BF72" s="182">
        <f ca="1">IF($D72&lt;&gt;"Serviço",0,IF(OR(AND(AUTOEVENTO="Manual",$M72=1),$M72&gt;(ROW(PLE.lastrow)-ROW(PLE.firstrow))),0,IF(OFFSET(PLE!$G$14,$M72,BF$13)="",10^12,OFFSET(PLE!$G$14,$M72,BF$13))))</f>
        <v>1000000000000</v>
      </c>
      <c r="BG72" s="182">
        <f ca="1">IF($D72&lt;&gt;"Serviço",0,IF(OR(AND(AUTOEVENTO="Manual",$M72=1),$M72&gt;(ROW(PLE.lastrow)-ROW(PLE.firstrow))),0,IF(OFFSET(PLE!$G$14,$M72,BG$13)="",10^12,OFFSET(PLE!$G$14,$M72,BG$13))))</f>
        <v>1000000000000</v>
      </c>
    </row>
    <row r="73" spans="1:59" ht="12.75" x14ac:dyDescent="0.2">
      <c r="A73" s="7" t="str">
        <f t="shared" ca="1" si="8"/>
        <v>58.</v>
      </c>
      <c r="B73" s="7">
        <f ca="1">OFFSET(ORÇAMENTO!C$15,ROW(B73)-ROW(B$15),0)</f>
        <v>2</v>
      </c>
      <c r="C73" s="7" t="str">
        <f ca="1">OFFSET(ORÇAMENTO!L$15,ROW(C73)-ROW(C$15),0)</f>
        <v>F</v>
      </c>
      <c r="D73" s="118" t="str">
        <f ca="1">OFFSET(ORÇAMENTO!N$15,ROW(D73)-ROW(D$15),0)</f>
        <v>Nível 2</v>
      </c>
      <c r="E73" s="119" t="str">
        <f ca="1">OFFSET(ORÇAMENTO!O$15,ROW(E73)-ROW(E$15),0)</f>
        <v>2.4.</v>
      </c>
      <c r="F73" s="172" t="str">
        <f ca="1">OFFSET(ORÇAMENTO!R$15,ROW(F73)-ROW(F$15),0)</f>
        <v>PAVIMENTAÇÃO</v>
      </c>
      <c r="G73" s="173" t="str">
        <f ca="1">IF($D73&lt;&gt;"Serviço","",OFFSET(ORÇAMENTO!S$15,ROW(G73)-ROW(G$15),0))</f>
        <v/>
      </c>
      <c r="H73" s="124">
        <f ca="1">IF($D73&lt;&gt;"Serviço",0,IF(ACOMPANHAMENTO="BM",ROUND(OFFSET(ORÇAMENTO!AJ$15,ROW(H73)-ROW(H$15),0),15-13*ORÇAMENTO!$AF$7),SUMPRODUCT(($Q$12:$AA$12&lt;&gt;"")*ROUND($Q73:$AA73,15-13*ORÇAMENTO!$AF$7))))</f>
        <v>0</v>
      </c>
      <c r="I73" s="561"/>
      <c r="K73" s="174"/>
      <c r="L73" s="175" t="s">
        <v>255</v>
      </c>
      <c r="M73" s="176" t="str">
        <f ca="1">IF($D73&lt;&gt;"Serviço","",IF(AUTOEVENTO="manual",$A73,IF(ISERROR(MATCH($A73,$A$15:OFFSET($A73,-1,0),0)),MAX($M$15:OFFSET(M73,-1,0))+1,INDEX($M$15:OFFSET(M73,-1,0),MATCH($A73,$A$15:OFFSET($A73,-1,0),0)))))</f>
        <v/>
      </c>
      <c r="N73" s="177" t="str">
        <f ca="1">IF($D73&lt;&gt;"Serviço","",IF(AUTOEVENTO="Manual",IF($A73=0,"&lt;-- defina o número do agrupador",OFFSET(EVENTOS!$D$14,$A73,0)),OFFSET($F$15,$A73,0)))</f>
        <v/>
      </c>
      <c r="O73" s="178"/>
      <c r="Q73" s="178"/>
      <c r="R73" s="179"/>
      <c r="S73" s="179"/>
      <c r="T73" s="179"/>
      <c r="U73" s="179"/>
      <c r="V73" s="179"/>
      <c r="W73" s="179"/>
      <c r="X73" s="179"/>
      <c r="Y73" s="179"/>
      <c r="Z73" s="180"/>
      <c r="AB73" s="544">
        <f ca="1">IF(AND($D73="Serviço",AB$12&lt;&gt;0,$H73&gt;0,OR(AUTOEVENTO&lt;&gt;"manual",$M73&lt;&gt;1)), IF(Import.TipoArredondamento&lt;&gt;"TransfereGOV", ROUND(OFFSET($P73,0,AB$13),15-13*ORÇAMENTO!$AF$7)/$H73*OFFSET(ORÇAMENTO!$X$15,ROW(AB73)-ROW(AB$15),0), ROUND(ROUND(OFFSET($P73,0,AB$13),15-13*ORÇAMENTO!$AF$7)*OFFSET(ORÇAMENTO!$W$15,ROW(AB73)-ROW(AB$15),0),15-13*ORÇAMENTO!$AF$11)),0)</f>
        <v>0</v>
      </c>
      <c r="AC73" s="545">
        <f ca="1">IF(AND($D73="Serviço",AC$12&lt;&gt;0,$H73&gt;0,OR(AUTOEVENTO&lt;&gt;"manual",$M73&lt;&gt;1)), IF(Import.TipoArredondamento&lt;&gt;"TransfereGOV", ROUND(OFFSET($P73,0,AC$13),15-13*ORÇAMENTO!$AF$7)/$H73*OFFSET(ORÇAMENTO!$X$15,ROW(AC73)-ROW(AC$15),0), ROUND(ROUND(OFFSET($P73,0,AC$13),15-13*ORÇAMENTO!$AF$7)*OFFSET(ORÇAMENTO!$W$15,ROW(AC73)-ROW(AC$15),0),15-13*ORÇAMENTO!$AF$11)),0)</f>
        <v>0</v>
      </c>
      <c r="AD73" s="545">
        <f ca="1">IF(AND($D73="Serviço",AD$12&lt;&gt;0,$H73&gt;0,OR(AUTOEVENTO&lt;&gt;"manual",$M73&lt;&gt;1)), IF(Import.TipoArredondamento&lt;&gt;"TransfereGOV", ROUND(OFFSET($P73,0,AD$13),15-13*ORÇAMENTO!$AF$7)/$H73*OFFSET(ORÇAMENTO!$X$15,ROW(AD73)-ROW(AD$15),0), ROUND(ROUND(OFFSET($P73,0,AD$13),15-13*ORÇAMENTO!$AF$7)*OFFSET(ORÇAMENTO!$W$15,ROW(AD73)-ROW(AD$15),0),15-13*ORÇAMENTO!$AF$11)),0)</f>
        <v>0</v>
      </c>
      <c r="AE73" s="545">
        <f ca="1">IF(AND($D73="Serviço",AE$12&lt;&gt;0,$H73&gt;0,OR(AUTOEVENTO&lt;&gt;"manual",$M73&lt;&gt;1)), IF(Import.TipoArredondamento&lt;&gt;"TransfereGOV", ROUND(OFFSET($P73,0,AE$13),15-13*ORÇAMENTO!$AF$7)/$H73*OFFSET(ORÇAMENTO!$X$15,ROW(AE73)-ROW(AE$15),0), ROUND(ROUND(OFFSET($P73,0,AE$13),15-13*ORÇAMENTO!$AF$7)*OFFSET(ORÇAMENTO!$W$15,ROW(AE73)-ROW(AE$15),0),15-13*ORÇAMENTO!$AF$11)),0)</f>
        <v>0</v>
      </c>
      <c r="AF73" s="545">
        <f ca="1">IF(AND($D73="Serviço",AF$12&lt;&gt;0,$H73&gt;0,OR(AUTOEVENTO&lt;&gt;"manual",$M73&lt;&gt;1)), IF(Import.TipoArredondamento&lt;&gt;"TransfereGOV", ROUND(OFFSET($P73,0,AF$13),15-13*ORÇAMENTO!$AF$7)/$H73*OFFSET(ORÇAMENTO!$X$15,ROW(AF73)-ROW(AF$15),0), ROUND(ROUND(OFFSET($P73,0,AF$13),15-13*ORÇAMENTO!$AF$7)*OFFSET(ORÇAMENTO!$W$15,ROW(AF73)-ROW(AF$15),0),15-13*ORÇAMENTO!$AF$11)),0)</f>
        <v>0</v>
      </c>
      <c r="AG73" s="545">
        <f ca="1">IF(AND($D73="Serviço",AG$12&lt;&gt;0,$H73&gt;0,OR(AUTOEVENTO&lt;&gt;"manual",$M73&lt;&gt;1)), IF(Import.TipoArredondamento&lt;&gt;"TransfereGOV", ROUND(OFFSET($P73,0,AG$13),15-13*ORÇAMENTO!$AF$7)/$H73*OFFSET(ORÇAMENTO!$X$15,ROW(AG73)-ROW(AG$15),0), ROUND(ROUND(OFFSET($P73,0,AG$13),15-13*ORÇAMENTO!$AF$7)*OFFSET(ORÇAMENTO!$W$15,ROW(AG73)-ROW(AG$15),0),15-13*ORÇAMENTO!$AF$11)),0)</f>
        <v>0</v>
      </c>
      <c r="AH73" s="545">
        <f ca="1">IF(AND($D73="Serviço",AH$12&lt;&gt;0,$H73&gt;0,OR(AUTOEVENTO&lt;&gt;"manual",$M73&lt;&gt;1)), IF(Import.TipoArredondamento&lt;&gt;"TransfereGOV", ROUND(OFFSET($P73,0,AH$13),15-13*ORÇAMENTO!$AF$7)/$H73*OFFSET(ORÇAMENTO!$X$15,ROW(AH73)-ROW(AH$15),0), ROUND(ROUND(OFFSET($P73,0,AH$13),15-13*ORÇAMENTO!$AF$7)*OFFSET(ORÇAMENTO!$W$15,ROW(AH73)-ROW(AH$15),0),15-13*ORÇAMENTO!$AF$11)),0)</f>
        <v>0</v>
      </c>
      <c r="AI73" s="545">
        <f ca="1">IF(AND($D73="Serviço",AI$12&lt;&gt;0,$H73&gt;0,OR(AUTOEVENTO&lt;&gt;"manual",$M73&lt;&gt;1)), IF(Import.TipoArredondamento&lt;&gt;"TransfereGOV", ROUND(OFFSET($P73,0,AI$13),15-13*ORÇAMENTO!$AF$7)/$H73*OFFSET(ORÇAMENTO!$X$15,ROW(AI73)-ROW(AI$15),0), ROUND(ROUND(OFFSET($P73,0,AI$13),15-13*ORÇAMENTO!$AF$7)*OFFSET(ORÇAMENTO!$W$15,ROW(AI73)-ROW(AI$15),0),15-13*ORÇAMENTO!$AF$11)),0)</f>
        <v>0</v>
      </c>
      <c r="AJ73" s="545">
        <f ca="1">IF(AND($D73="Serviço",AJ$12&lt;&gt;0,$H73&gt;0,OR(AUTOEVENTO&lt;&gt;"manual",$M73&lt;&gt;1)), IF(Import.TipoArredondamento&lt;&gt;"TransfereGOV", ROUND(OFFSET($P73,0,AJ$13),15-13*ORÇAMENTO!$AF$7)/$H73*OFFSET(ORÇAMENTO!$X$15,ROW(AJ73)-ROW(AJ$15),0), ROUND(ROUND(OFFSET($P73,0,AJ$13),15-13*ORÇAMENTO!$AF$7)*OFFSET(ORÇAMENTO!$W$15,ROW(AJ73)-ROW(AJ$15),0),15-13*ORÇAMENTO!$AF$11)),0)</f>
        <v>0</v>
      </c>
      <c r="AK73" s="546">
        <f ca="1">IF(AND($D73="Serviço",AK$12&lt;&gt;0,$H73&gt;0,OR(AUTOEVENTO&lt;&gt;"manual",$M73&lt;&gt;1)), IF(Import.TipoArredondamento&lt;&gt;"TransfereGOV", ROUND(OFFSET($P73,0,AK$13),15-13*ORÇAMENTO!$AF$7)/$H73*OFFSET(ORÇAMENTO!$X$15,ROW(AK73)-ROW(AK$15),0), ROUND(ROUND(OFFSET($P73,0,AK$13),15-13*ORÇAMENTO!$AF$7)*OFFSET(ORÇAMENTO!$W$15,ROW(AK73)-ROW(AK$15),0),15-13*ORÇAMENTO!$AF$11)),0)</f>
        <v>0</v>
      </c>
      <c r="AM73" s="181">
        <f ca="1">IF($D73&lt;&gt;"Serviço",0,IF(AND(AUTOEVENTO="Manual",$M73=1),0,IF(OFFSET(CRONOPLE!$F$14,$M73,AM$13)="",10^12,OFFSET(CRONOPLE!$F$14,$M73,AM$13))))</f>
        <v>0</v>
      </c>
      <c r="AN73" s="181">
        <f ca="1">IF($D73&lt;&gt;"Serviço",0,IF(AND(AUTOEVENTO="Manual",$M73=1),0,IF(OFFSET(CRONOPLE!$F$14,$M73,AN$13)="",10^12,OFFSET(CRONOPLE!$F$14,$M73,AN$13))))</f>
        <v>0</v>
      </c>
      <c r="AO73" s="181">
        <f ca="1">IF($D73&lt;&gt;"Serviço",0,IF(AND(AUTOEVENTO="Manual",$M73=1),0,IF(OFFSET(CRONOPLE!$F$14,$M73,AO$13)="",10^12,OFFSET(CRONOPLE!$F$14,$M73,AO$13))))</f>
        <v>0</v>
      </c>
      <c r="AP73" s="181">
        <f ca="1">IF($D73&lt;&gt;"Serviço",0,IF(AND(AUTOEVENTO="Manual",$M73=1),0,IF(OFFSET(CRONOPLE!$F$14,$M73,AP$13)="",10^12,OFFSET(CRONOPLE!$F$14,$M73,AP$13))))</f>
        <v>0</v>
      </c>
      <c r="AQ73" s="181">
        <f ca="1">IF($D73&lt;&gt;"Serviço",0,IF(AND(AUTOEVENTO="Manual",$M73=1),0,IF(OFFSET(CRONOPLE!$F$14,$M73,AQ$13)="",10^12,OFFSET(CRONOPLE!$F$14,$M73,AQ$13))))</f>
        <v>0</v>
      </c>
      <c r="AR73" s="181">
        <f ca="1">IF($D73&lt;&gt;"Serviço",0,IF(AND(AUTOEVENTO="Manual",$M73=1),0,IF(OFFSET(CRONOPLE!$F$14,$M73,AR$13)="",10^12,OFFSET(CRONOPLE!$F$14,$M73,AR$13))))</f>
        <v>0</v>
      </c>
      <c r="AS73" s="181">
        <f ca="1">IF($D73&lt;&gt;"Serviço",0,IF(AND(AUTOEVENTO="Manual",$M73=1),0,IF(OFFSET(CRONOPLE!$F$14,$M73,AS$13)="",10^12,OFFSET(CRONOPLE!$F$14,$M73,AS$13))))</f>
        <v>0</v>
      </c>
      <c r="AT73" s="181">
        <f ca="1">IF($D73&lt;&gt;"Serviço",0,IF(AND(AUTOEVENTO="Manual",$M73=1),0,IF(OFFSET(CRONOPLE!$F$14,$M73,AT$13)="",10^12,OFFSET(CRONOPLE!$F$14,$M73,AT$13))))</f>
        <v>0</v>
      </c>
      <c r="AU73" s="181">
        <f ca="1">IF($D73&lt;&gt;"Serviço",0,IF(AND(AUTOEVENTO="Manual",$M73=1),0,IF(OFFSET(CRONOPLE!$F$14,$M73,AU$13)="",10^12,OFFSET(CRONOPLE!$F$14,$M73,AU$13))))</f>
        <v>0</v>
      </c>
      <c r="AV73" s="181">
        <f ca="1">IF($D73&lt;&gt;"Serviço",0,IF(AND(AUTOEVENTO="Manual",$M73=1),0,IF(OFFSET(CRONOPLE!$F$14,$M73,AV$13)="",10^12,OFFSET(CRONOPLE!$F$14,$M73,AV$13))))</f>
        <v>0</v>
      </c>
      <c r="AX73" s="182">
        <f ca="1">IF($D73&lt;&gt;"Serviço",0,IF(OR(AND(AUTOEVENTO="Manual",$M73=1),$M73&gt;(ROW(PLE.lastrow)-ROW(PLE.firstrow))),0,IF(OFFSET(PLE!$G$14,$M73,AX$13)="",10^12,OFFSET(PLE!$G$14,$M73,AX$13))))</f>
        <v>0</v>
      </c>
      <c r="AY73" s="182">
        <f ca="1">IF($D73&lt;&gt;"Serviço",0,IF(OR(AND(AUTOEVENTO="Manual",$M73=1),$M73&gt;(ROW(PLE.lastrow)-ROW(PLE.firstrow))),0,IF(OFFSET(PLE!$G$14,$M73,AY$13)="",10^12,OFFSET(PLE!$G$14,$M73,AY$13))))</f>
        <v>0</v>
      </c>
      <c r="AZ73" s="182">
        <f ca="1">IF($D73&lt;&gt;"Serviço",0,IF(OR(AND(AUTOEVENTO="Manual",$M73=1),$M73&gt;(ROW(PLE.lastrow)-ROW(PLE.firstrow))),0,IF(OFFSET(PLE!$G$14,$M73,AZ$13)="",10^12,OFFSET(PLE!$G$14,$M73,AZ$13))))</f>
        <v>0</v>
      </c>
      <c r="BA73" s="182">
        <f ca="1">IF($D73&lt;&gt;"Serviço",0,IF(OR(AND(AUTOEVENTO="Manual",$M73=1),$M73&gt;(ROW(PLE.lastrow)-ROW(PLE.firstrow))),0,IF(OFFSET(PLE!$G$14,$M73,BA$13)="",10^12,OFFSET(PLE!$G$14,$M73,BA$13))))</f>
        <v>0</v>
      </c>
      <c r="BB73" s="182">
        <f ca="1">IF($D73&lt;&gt;"Serviço",0,IF(OR(AND(AUTOEVENTO="Manual",$M73=1),$M73&gt;(ROW(PLE.lastrow)-ROW(PLE.firstrow))),0,IF(OFFSET(PLE!$G$14,$M73,BB$13)="",10^12,OFFSET(PLE!$G$14,$M73,BB$13))))</f>
        <v>0</v>
      </c>
      <c r="BC73" s="182">
        <f ca="1">IF($D73&lt;&gt;"Serviço",0,IF(OR(AND(AUTOEVENTO="Manual",$M73=1),$M73&gt;(ROW(PLE.lastrow)-ROW(PLE.firstrow))),0,IF(OFFSET(PLE!$G$14,$M73,BC$13)="",10^12,OFFSET(PLE!$G$14,$M73,BC$13))))</f>
        <v>0</v>
      </c>
      <c r="BD73" s="182">
        <f ca="1">IF($D73&lt;&gt;"Serviço",0,IF(OR(AND(AUTOEVENTO="Manual",$M73=1),$M73&gt;(ROW(PLE.lastrow)-ROW(PLE.firstrow))),0,IF(OFFSET(PLE!$G$14,$M73,BD$13)="",10^12,OFFSET(PLE!$G$14,$M73,BD$13))))</f>
        <v>0</v>
      </c>
      <c r="BE73" s="182">
        <f ca="1">IF($D73&lt;&gt;"Serviço",0,IF(OR(AND(AUTOEVENTO="Manual",$M73=1),$M73&gt;(ROW(PLE.lastrow)-ROW(PLE.firstrow))),0,IF(OFFSET(PLE!$G$14,$M73,BE$13)="",10^12,OFFSET(PLE!$G$14,$M73,BE$13))))</f>
        <v>0</v>
      </c>
      <c r="BF73" s="182">
        <f ca="1">IF($D73&lt;&gt;"Serviço",0,IF(OR(AND(AUTOEVENTO="Manual",$M73=1),$M73&gt;(ROW(PLE.lastrow)-ROW(PLE.firstrow))),0,IF(OFFSET(PLE!$G$14,$M73,BF$13)="",10^12,OFFSET(PLE!$G$14,$M73,BF$13))))</f>
        <v>0</v>
      </c>
      <c r="BG73" s="182">
        <f ca="1">IF($D73&lt;&gt;"Serviço",0,IF(OR(AND(AUTOEVENTO="Manual",$M73=1),$M73&gt;(ROW(PLE.lastrow)-ROW(PLE.firstrow))),0,IF(OFFSET(PLE!$G$14,$M73,BG$13)="",10^12,OFFSET(PLE!$G$14,$M73,BG$13))))</f>
        <v>0</v>
      </c>
    </row>
    <row r="74" spans="1:59" ht="25.5" x14ac:dyDescent="0.2">
      <c r="A74" s="7" t="str">
        <f t="shared" ca="1" si="8"/>
        <v>58</v>
      </c>
      <c r="B74" s="7" t="str">
        <f ca="1">OFFSET(ORÇAMENTO!C$15,ROW(B74)-ROW(B$15),0)</f>
        <v>S</v>
      </c>
      <c r="C74" s="7" t="str">
        <f ca="1">OFFSET(ORÇAMENTO!L$15,ROW(C74)-ROW(C$15),0)</f>
        <v>F</v>
      </c>
      <c r="D74" s="118" t="str">
        <f ca="1">OFFSET(ORÇAMENTO!N$15,ROW(D74)-ROW(D$15),0)</f>
        <v>Serviço</v>
      </c>
      <c r="E74" s="119" t="str">
        <f ca="1">OFFSET(ORÇAMENTO!O$15,ROW(E74)-ROW(E$15),0)</f>
        <v>2.4.1.</v>
      </c>
      <c r="F74" s="172" t="str">
        <f ca="1">OFFSET(ORÇAMENTO!R$15,ROW(F74)-ROW(F$15),0)</f>
        <v>LIMPEZA E LAVAGEM DE PISTA COM CAMINHÃO PIPA E VASSOURA MECÂNICA</v>
      </c>
      <c r="G74" s="173" t="str">
        <f ca="1">IF($D74&lt;&gt;"Serviço","",OFFSET(ORÇAMENTO!S$15,ROW(G74)-ROW(G$15),0))</f>
        <v>M²</v>
      </c>
      <c r="H74" s="124">
        <f ca="1">IF($D74&lt;&gt;"Serviço",0,IF(ACOMPANHAMENTO="BM",ROUND(OFFSET(ORÇAMENTO!AJ$15,ROW(H74)-ROW(H$15),0),15-13*ORÇAMENTO!$AF$7),SUMPRODUCT(($Q$12:$AA$12&lt;&gt;"")*ROUND($Q74:$AA74,15-13*ORÇAMENTO!$AF$7))))</f>
        <v>3455.87</v>
      </c>
      <c r="I74" s="561"/>
      <c r="K74" s="174"/>
      <c r="L74" s="175" t="s">
        <v>255</v>
      </c>
      <c r="M74" s="176">
        <f ca="1">IF($D74&lt;&gt;"Serviço","",IF(AUTOEVENTO="manual",$A74,IF(ISERROR(MATCH($A74,$A$15:OFFSET($A74,-1,0),0)),MAX($M$15:OFFSET(M74,-1,0))+1,INDEX($M$15:OFFSET(M74,-1,0),MATCH($A74,$A$15:OFFSET($A74,-1,0),0)))))</f>
        <v>10</v>
      </c>
      <c r="N74" s="177" t="str">
        <f ca="1">IF($D74&lt;&gt;"Serviço","",IF(AUTOEVENTO="Manual",IF($A74=0,"&lt;-- defina o número do agrupador",OFFSET(EVENTOS!$D$14,$A74,0)),OFFSET($F$15,$A74,0)))</f>
        <v>PAVIMENTAÇÃO</v>
      </c>
      <c r="O74" s="178"/>
      <c r="Q74" s="178"/>
      <c r="R74" s="179"/>
      <c r="S74" s="179"/>
      <c r="T74" s="179"/>
      <c r="U74" s="179"/>
      <c r="V74" s="179"/>
      <c r="W74" s="179"/>
      <c r="X74" s="179"/>
      <c r="Y74" s="179"/>
      <c r="Z74" s="180"/>
      <c r="AB74" s="544">
        <f ca="1">IF(AND($D74="Serviço",AB$12&lt;&gt;0,$H74&gt;0,OR(AUTOEVENTO&lt;&gt;"manual",$M74&lt;&gt;1)), IF(Import.TipoArredondamento&lt;&gt;"TransfereGOV", ROUND(OFFSET($P74,0,AB$13),15-13*ORÇAMENTO!$AF$7)/$H74*OFFSET(ORÇAMENTO!$X$15,ROW(AB74)-ROW(AB$15),0), ROUND(ROUND(OFFSET($P74,0,AB$13),15-13*ORÇAMENTO!$AF$7)*OFFSET(ORÇAMENTO!$W$15,ROW(AB74)-ROW(AB$15),0),15-13*ORÇAMENTO!$AF$11)),0)</f>
        <v>0</v>
      </c>
      <c r="AC74" s="545">
        <f ca="1">IF(AND($D74="Serviço",AC$12&lt;&gt;0,$H74&gt;0,OR(AUTOEVENTO&lt;&gt;"manual",$M74&lt;&gt;1)), IF(Import.TipoArredondamento&lt;&gt;"TransfereGOV", ROUND(OFFSET($P74,0,AC$13),15-13*ORÇAMENTO!$AF$7)/$H74*OFFSET(ORÇAMENTO!$X$15,ROW(AC74)-ROW(AC$15),0), ROUND(ROUND(OFFSET($P74,0,AC$13),15-13*ORÇAMENTO!$AF$7)*OFFSET(ORÇAMENTO!$W$15,ROW(AC74)-ROW(AC$15),0),15-13*ORÇAMENTO!$AF$11)),0)</f>
        <v>0</v>
      </c>
      <c r="AD74" s="545">
        <f ca="1">IF(AND($D74="Serviço",AD$12&lt;&gt;0,$H74&gt;0,OR(AUTOEVENTO&lt;&gt;"manual",$M74&lt;&gt;1)), IF(Import.TipoArredondamento&lt;&gt;"TransfereGOV", ROUND(OFFSET($P74,0,AD$13),15-13*ORÇAMENTO!$AF$7)/$H74*OFFSET(ORÇAMENTO!$X$15,ROW(AD74)-ROW(AD$15),0), ROUND(ROUND(OFFSET($P74,0,AD$13),15-13*ORÇAMENTO!$AF$7)*OFFSET(ORÇAMENTO!$W$15,ROW(AD74)-ROW(AD$15),0),15-13*ORÇAMENTO!$AF$11)),0)</f>
        <v>0</v>
      </c>
      <c r="AE74" s="545">
        <f ca="1">IF(AND($D74="Serviço",AE$12&lt;&gt;0,$H74&gt;0,OR(AUTOEVENTO&lt;&gt;"manual",$M74&lt;&gt;1)), IF(Import.TipoArredondamento&lt;&gt;"TransfereGOV", ROUND(OFFSET($P74,0,AE$13),15-13*ORÇAMENTO!$AF$7)/$H74*OFFSET(ORÇAMENTO!$X$15,ROW(AE74)-ROW(AE$15),0), ROUND(ROUND(OFFSET($P74,0,AE$13),15-13*ORÇAMENTO!$AF$7)*OFFSET(ORÇAMENTO!$W$15,ROW(AE74)-ROW(AE$15),0),15-13*ORÇAMENTO!$AF$11)),0)</f>
        <v>0</v>
      </c>
      <c r="AF74" s="545">
        <f ca="1">IF(AND($D74="Serviço",AF$12&lt;&gt;0,$H74&gt;0,OR(AUTOEVENTO&lt;&gt;"manual",$M74&lt;&gt;1)), IF(Import.TipoArredondamento&lt;&gt;"TransfereGOV", ROUND(OFFSET($P74,0,AF$13),15-13*ORÇAMENTO!$AF$7)/$H74*OFFSET(ORÇAMENTO!$X$15,ROW(AF74)-ROW(AF$15),0), ROUND(ROUND(OFFSET($P74,0,AF$13),15-13*ORÇAMENTO!$AF$7)*OFFSET(ORÇAMENTO!$W$15,ROW(AF74)-ROW(AF$15),0),15-13*ORÇAMENTO!$AF$11)),0)</f>
        <v>0</v>
      </c>
      <c r="AG74" s="545">
        <f ca="1">IF(AND($D74="Serviço",AG$12&lt;&gt;0,$H74&gt;0,OR(AUTOEVENTO&lt;&gt;"manual",$M74&lt;&gt;1)), IF(Import.TipoArredondamento&lt;&gt;"TransfereGOV", ROUND(OFFSET($P74,0,AG$13),15-13*ORÇAMENTO!$AF$7)/$H74*OFFSET(ORÇAMENTO!$X$15,ROW(AG74)-ROW(AG$15),0), ROUND(ROUND(OFFSET($P74,0,AG$13),15-13*ORÇAMENTO!$AF$7)*OFFSET(ORÇAMENTO!$W$15,ROW(AG74)-ROW(AG$15),0),15-13*ORÇAMENTO!$AF$11)),0)</f>
        <v>0</v>
      </c>
      <c r="AH74" s="545">
        <f ca="1">IF(AND($D74="Serviço",AH$12&lt;&gt;0,$H74&gt;0,OR(AUTOEVENTO&lt;&gt;"manual",$M74&lt;&gt;1)), IF(Import.TipoArredondamento&lt;&gt;"TransfereGOV", ROUND(OFFSET($P74,0,AH$13),15-13*ORÇAMENTO!$AF$7)/$H74*OFFSET(ORÇAMENTO!$X$15,ROW(AH74)-ROW(AH$15),0), ROUND(ROUND(OFFSET($P74,0,AH$13),15-13*ORÇAMENTO!$AF$7)*OFFSET(ORÇAMENTO!$W$15,ROW(AH74)-ROW(AH$15),0),15-13*ORÇAMENTO!$AF$11)),0)</f>
        <v>0</v>
      </c>
      <c r="AI74" s="545">
        <f ca="1">IF(AND($D74="Serviço",AI$12&lt;&gt;0,$H74&gt;0,OR(AUTOEVENTO&lt;&gt;"manual",$M74&lt;&gt;1)), IF(Import.TipoArredondamento&lt;&gt;"TransfereGOV", ROUND(OFFSET($P74,0,AI$13),15-13*ORÇAMENTO!$AF$7)/$H74*OFFSET(ORÇAMENTO!$X$15,ROW(AI74)-ROW(AI$15),0), ROUND(ROUND(OFFSET($P74,0,AI$13),15-13*ORÇAMENTO!$AF$7)*OFFSET(ORÇAMENTO!$W$15,ROW(AI74)-ROW(AI$15),0),15-13*ORÇAMENTO!$AF$11)),0)</f>
        <v>0</v>
      </c>
      <c r="AJ74" s="545">
        <f ca="1">IF(AND($D74="Serviço",AJ$12&lt;&gt;0,$H74&gt;0,OR(AUTOEVENTO&lt;&gt;"manual",$M74&lt;&gt;1)), IF(Import.TipoArredondamento&lt;&gt;"TransfereGOV", ROUND(OFFSET($P74,0,AJ$13),15-13*ORÇAMENTO!$AF$7)/$H74*OFFSET(ORÇAMENTO!$X$15,ROW(AJ74)-ROW(AJ$15),0), ROUND(ROUND(OFFSET($P74,0,AJ$13),15-13*ORÇAMENTO!$AF$7)*OFFSET(ORÇAMENTO!$W$15,ROW(AJ74)-ROW(AJ$15),0),15-13*ORÇAMENTO!$AF$11)),0)</f>
        <v>0</v>
      </c>
      <c r="AK74" s="546">
        <f ca="1">IF(AND($D74="Serviço",AK$12&lt;&gt;0,$H74&gt;0,OR(AUTOEVENTO&lt;&gt;"manual",$M74&lt;&gt;1)), IF(Import.TipoArredondamento&lt;&gt;"TransfereGOV", ROUND(OFFSET($P74,0,AK$13),15-13*ORÇAMENTO!$AF$7)/$H74*OFFSET(ORÇAMENTO!$X$15,ROW(AK74)-ROW(AK$15),0), ROUND(ROUND(OFFSET($P74,0,AK$13),15-13*ORÇAMENTO!$AF$7)*OFFSET(ORÇAMENTO!$W$15,ROW(AK74)-ROW(AK$15),0),15-13*ORÇAMENTO!$AF$11)),0)</f>
        <v>0</v>
      </c>
      <c r="AM74" s="181">
        <f ca="1">IF($D74&lt;&gt;"Serviço",0,IF(AND(AUTOEVENTO="Manual",$M74=1),0,IF(OFFSET(CRONOPLE!$F$14,$M74,AM$13)="",10^12,OFFSET(CRONOPLE!$F$14,$M74,AM$13))))</f>
        <v>1000000000000</v>
      </c>
      <c r="AN74" s="181">
        <f ca="1">IF($D74&lt;&gt;"Serviço",0,IF(AND(AUTOEVENTO="Manual",$M74=1),0,IF(OFFSET(CRONOPLE!$F$14,$M74,AN$13)="",10^12,OFFSET(CRONOPLE!$F$14,$M74,AN$13))))</f>
        <v>1000000000000</v>
      </c>
      <c r="AO74" s="181">
        <f ca="1">IF($D74&lt;&gt;"Serviço",0,IF(AND(AUTOEVENTO="Manual",$M74=1),0,IF(OFFSET(CRONOPLE!$F$14,$M74,AO$13)="",10^12,OFFSET(CRONOPLE!$F$14,$M74,AO$13))))</f>
        <v>1000000000000</v>
      </c>
      <c r="AP74" s="181">
        <f ca="1">IF($D74&lt;&gt;"Serviço",0,IF(AND(AUTOEVENTO="Manual",$M74=1),0,IF(OFFSET(CRONOPLE!$F$14,$M74,AP$13)="",10^12,OFFSET(CRONOPLE!$F$14,$M74,AP$13))))</f>
        <v>1000000000000</v>
      </c>
      <c r="AQ74" s="181">
        <f ca="1">IF($D74&lt;&gt;"Serviço",0,IF(AND(AUTOEVENTO="Manual",$M74=1),0,IF(OFFSET(CRONOPLE!$F$14,$M74,AQ$13)="",10^12,OFFSET(CRONOPLE!$F$14,$M74,AQ$13))))</f>
        <v>1000000000000</v>
      </c>
      <c r="AR74" s="181">
        <f ca="1">IF($D74&lt;&gt;"Serviço",0,IF(AND(AUTOEVENTO="Manual",$M74=1),0,IF(OFFSET(CRONOPLE!$F$14,$M74,AR$13)="",10^12,OFFSET(CRONOPLE!$F$14,$M74,AR$13))))</f>
        <v>1000000000000</v>
      </c>
      <c r="AS74" s="181">
        <f ca="1">IF($D74&lt;&gt;"Serviço",0,IF(AND(AUTOEVENTO="Manual",$M74=1),0,IF(OFFSET(CRONOPLE!$F$14,$M74,AS$13)="",10^12,OFFSET(CRONOPLE!$F$14,$M74,AS$13))))</f>
        <v>1000000000000</v>
      </c>
      <c r="AT74" s="181">
        <f ca="1">IF($D74&lt;&gt;"Serviço",0,IF(AND(AUTOEVENTO="Manual",$M74=1),0,IF(OFFSET(CRONOPLE!$F$14,$M74,AT$13)="",10^12,OFFSET(CRONOPLE!$F$14,$M74,AT$13))))</f>
        <v>1000000000000</v>
      </c>
      <c r="AU74" s="181">
        <f ca="1">IF($D74&lt;&gt;"Serviço",0,IF(AND(AUTOEVENTO="Manual",$M74=1),0,IF(OFFSET(CRONOPLE!$F$14,$M74,AU$13)="",10^12,OFFSET(CRONOPLE!$F$14,$M74,AU$13))))</f>
        <v>1000000000000</v>
      </c>
      <c r="AV74" s="181">
        <f ca="1">IF($D74&lt;&gt;"Serviço",0,IF(AND(AUTOEVENTO="Manual",$M74=1),0,IF(OFFSET(CRONOPLE!$F$14,$M74,AV$13)="",10^12,OFFSET(CRONOPLE!$F$14,$M74,AV$13))))</f>
        <v>1000000000000</v>
      </c>
      <c r="AX74" s="182">
        <f ca="1">IF($D74&lt;&gt;"Serviço",0,IF(OR(AND(AUTOEVENTO="Manual",$M74=1),$M74&gt;(ROW(PLE.lastrow)-ROW(PLE.firstrow))),0,IF(OFFSET(PLE!$G$14,$M74,AX$13)="",10^12,OFFSET(PLE!$G$14,$M74,AX$13))))</f>
        <v>1000000000000</v>
      </c>
      <c r="AY74" s="182">
        <f ca="1">IF($D74&lt;&gt;"Serviço",0,IF(OR(AND(AUTOEVENTO="Manual",$M74=1),$M74&gt;(ROW(PLE.lastrow)-ROW(PLE.firstrow))),0,IF(OFFSET(PLE!$G$14,$M74,AY$13)="",10^12,OFFSET(PLE!$G$14,$M74,AY$13))))</f>
        <v>1000000000000</v>
      </c>
      <c r="AZ74" s="182">
        <f ca="1">IF($D74&lt;&gt;"Serviço",0,IF(OR(AND(AUTOEVENTO="Manual",$M74=1),$M74&gt;(ROW(PLE.lastrow)-ROW(PLE.firstrow))),0,IF(OFFSET(PLE!$G$14,$M74,AZ$13)="",10^12,OFFSET(PLE!$G$14,$M74,AZ$13))))</f>
        <v>1000000000000</v>
      </c>
      <c r="BA74" s="182">
        <f ca="1">IF($D74&lt;&gt;"Serviço",0,IF(OR(AND(AUTOEVENTO="Manual",$M74=1),$M74&gt;(ROW(PLE.lastrow)-ROW(PLE.firstrow))),0,IF(OFFSET(PLE!$G$14,$M74,BA$13)="",10^12,OFFSET(PLE!$G$14,$M74,BA$13))))</f>
        <v>1000000000000</v>
      </c>
      <c r="BB74" s="182">
        <f ca="1">IF($D74&lt;&gt;"Serviço",0,IF(OR(AND(AUTOEVENTO="Manual",$M74=1),$M74&gt;(ROW(PLE.lastrow)-ROW(PLE.firstrow))),0,IF(OFFSET(PLE!$G$14,$M74,BB$13)="",10^12,OFFSET(PLE!$G$14,$M74,BB$13))))</f>
        <v>1000000000000</v>
      </c>
      <c r="BC74" s="182">
        <f ca="1">IF($D74&lt;&gt;"Serviço",0,IF(OR(AND(AUTOEVENTO="Manual",$M74=1),$M74&gt;(ROW(PLE.lastrow)-ROW(PLE.firstrow))),0,IF(OFFSET(PLE!$G$14,$M74,BC$13)="",10^12,OFFSET(PLE!$G$14,$M74,BC$13))))</f>
        <v>1000000000000</v>
      </c>
      <c r="BD74" s="182">
        <f ca="1">IF($D74&lt;&gt;"Serviço",0,IF(OR(AND(AUTOEVENTO="Manual",$M74=1),$M74&gt;(ROW(PLE.lastrow)-ROW(PLE.firstrow))),0,IF(OFFSET(PLE!$G$14,$M74,BD$13)="",10^12,OFFSET(PLE!$G$14,$M74,BD$13))))</f>
        <v>1000000000000</v>
      </c>
      <c r="BE74" s="182">
        <f ca="1">IF($D74&lt;&gt;"Serviço",0,IF(OR(AND(AUTOEVENTO="Manual",$M74=1),$M74&gt;(ROW(PLE.lastrow)-ROW(PLE.firstrow))),0,IF(OFFSET(PLE!$G$14,$M74,BE$13)="",10^12,OFFSET(PLE!$G$14,$M74,BE$13))))</f>
        <v>1000000000000</v>
      </c>
      <c r="BF74" s="182">
        <f ca="1">IF($D74&lt;&gt;"Serviço",0,IF(OR(AND(AUTOEVENTO="Manual",$M74=1),$M74&gt;(ROW(PLE.lastrow)-ROW(PLE.firstrow))),0,IF(OFFSET(PLE!$G$14,$M74,BF$13)="",10^12,OFFSET(PLE!$G$14,$M74,BF$13))))</f>
        <v>1000000000000</v>
      </c>
      <c r="BG74" s="182">
        <f ca="1">IF($D74&lt;&gt;"Serviço",0,IF(OR(AND(AUTOEVENTO="Manual",$M74=1),$M74&gt;(ROW(PLE.lastrow)-ROW(PLE.firstrow))),0,IF(OFFSET(PLE!$G$14,$M74,BG$13)="",10^12,OFFSET(PLE!$G$14,$M74,BG$13))))</f>
        <v>1000000000000</v>
      </c>
    </row>
    <row r="75" spans="1:59" ht="12.75" x14ac:dyDescent="0.2">
      <c r="A75" s="7" t="str">
        <f t="shared" ca="1" si="8"/>
        <v>58</v>
      </c>
      <c r="B75" s="7" t="str">
        <f ca="1">OFFSET(ORÇAMENTO!C$15,ROW(B75)-ROW(B$15),0)</f>
        <v>S</v>
      </c>
      <c r="C75" s="7" t="str">
        <f ca="1">OFFSET(ORÇAMENTO!L$15,ROW(C75)-ROW(C$15),0)</f>
        <v>F</v>
      </c>
      <c r="D75" s="118" t="str">
        <f ca="1">OFFSET(ORÇAMENTO!N$15,ROW(D75)-ROW(D$15),0)</f>
        <v>Serviço</v>
      </c>
      <c r="E75" s="119" t="str">
        <f ca="1">OFFSET(ORÇAMENTO!O$15,ROW(E75)-ROW(E$15),0)</f>
        <v>2.4.2.</v>
      </c>
      <c r="F75" s="172" t="str">
        <f ca="1">OFFSET(ORÇAMENTO!R$15,ROW(F75)-ROW(F$15),0)</f>
        <v>Pintura de ligação</v>
      </c>
      <c r="G75" s="173" t="str">
        <f ca="1">IF($D75&lt;&gt;"Serviço","",OFFSET(ORÇAMENTO!S$15,ROW(G75)-ROW(G$15),0))</f>
        <v>m²</v>
      </c>
      <c r="H75" s="124">
        <f ca="1">IF($D75&lt;&gt;"Serviço",0,IF(ACOMPANHAMENTO="BM",ROUND(OFFSET(ORÇAMENTO!AJ$15,ROW(H75)-ROW(H$15),0),15-13*ORÇAMENTO!$AF$7),SUMPRODUCT(($Q$12:$AA$12&lt;&gt;"")*ROUND($Q75:$AA75,15-13*ORÇAMENTO!$AF$7))))</f>
        <v>6911.74</v>
      </c>
      <c r="I75" s="561"/>
      <c r="K75" s="174"/>
      <c r="L75" s="175" t="s">
        <v>255</v>
      </c>
      <c r="M75" s="176">
        <f ca="1">IF($D75&lt;&gt;"Serviço","",IF(AUTOEVENTO="manual",$A75,IF(ISERROR(MATCH($A75,$A$15:OFFSET($A75,-1,0),0)),MAX($M$15:OFFSET(M75,-1,0))+1,INDEX($M$15:OFFSET(M75,-1,0),MATCH($A75,$A$15:OFFSET($A75,-1,0),0)))))</f>
        <v>10</v>
      </c>
      <c r="N75" s="177" t="str">
        <f ca="1">IF($D75&lt;&gt;"Serviço","",IF(AUTOEVENTO="Manual",IF($A75=0,"&lt;-- defina o número do agrupador",OFFSET(EVENTOS!$D$14,$A75,0)),OFFSET($F$15,$A75,0)))</f>
        <v>PAVIMENTAÇÃO</v>
      </c>
      <c r="O75" s="178"/>
      <c r="Q75" s="178"/>
      <c r="R75" s="179"/>
      <c r="S75" s="179"/>
      <c r="T75" s="179"/>
      <c r="U75" s="179"/>
      <c r="V75" s="179"/>
      <c r="W75" s="179"/>
      <c r="X75" s="179"/>
      <c r="Y75" s="179"/>
      <c r="Z75" s="180"/>
      <c r="AB75" s="544">
        <f ca="1">IF(AND($D75="Serviço",AB$12&lt;&gt;0,$H75&gt;0,OR(AUTOEVENTO&lt;&gt;"manual",$M75&lt;&gt;1)), IF(Import.TipoArredondamento&lt;&gt;"TransfereGOV", ROUND(OFFSET($P75,0,AB$13),15-13*ORÇAMENTO!$AF$7)/$H75*OFFSET(ORÇAMENTO!$X$15,ROW(AB75)-ROW(AB$15),0), ROUND(ROUND(OFFSET($P75,0,AB$13),15-13*ORÇAMENTO!$AF$7)*OFFSET(ORÇAMENTO!$W$15,ROW(AB75)-ROW(AB$15),0),15-13*ORÇAMENTO!$AF$11)),0)</f>
        <v>0</v>
      </c>
      <c r="AC75" s="545">
        <f ca="1">IF(AND($D75="Serviço",AC$12&lt;&gt;0,$H75&gt;0,OR(AUTOEVENTO&lt;&gt;"manual",$M75&lt;&gt;1)), IF(Import.TipoArredondamento&lt;&gt;"TransfereGOV", ROUND(OFFSET($P75,0,AC$13),15-13*ORÇAMENTO!$AF$7)/$H75*OFFSET(ORÇAMENTO!$X$15,ROW(AC75)-ROW(AC$15),0), ROUND(ROUND(OFFSET($P75,0,AC$13),15-13*ORÇAMENTO!$AF$7)*OFFSET(ORÇAMENTO!$W$15,ROW(AC75)-ROW(AC$15),0),15-13*ORÇAMENTO!$AF$11)),0)</f>
        <v>0</v>
      </c>
      <c r="AD75" s="545">
        <f ca="1">IF(AND($D75="Serviço",AD$12&lt;&gt;0,$H75&gt;0,OR(AUTOEVENTO&lt;&gt;"manual",$M75&lt;&gt;1)), IF(Import.TipoArredondamento&lt;&gt;"TransfereGOV", ROUND(OFFSET($P75,0,AD$13),15-13*ORÇAMENTO!$AF$7)/$H75*OFFSET(ORÇAMENTO!$X$15,ROW(AD75)-ROW(AD$15),0), ROUND(ROUND(OFFSET($P75,0,AD$13),15-13*ORÇAMENTO!$AF$7)*OFFSET(ORÇAMENTO!$W$15,ROW(AD75)-ROW(AD$15),0),15-13*ORÇAMENTO!$AF$11)),0)</f>
        <v>0</v>
      </c>
      <c r="AE75" s="545">
        <f ca="1">IF(AND($D75="Serviço",AE$12&lt;&gt;0,$H75&gt;0,OR(AUTOEVENTO&lt;&gt;"manual",$M75&lt;&gt;1)), IF(Import.TipoArredondamento&lt;&gt;"TransfereGOV", ROUND(OFFSET($P75,0,AE$13),15-13*ORÇAMENTO!$AF$7)/$H75*OFFSET(ORÇAMENTO!$X$15,ROW(AE75)-ROW(AE$15),0), ROUND(ROUND(OFFSET($P75,0,AE$13),15-13*ORÇAMENTO!$AF$7)*OFFSET(ORÇAMENTO!$W$15,ROW(AE75)-ROW(AE$15),0),15-13*ORÇAMENTO!$AF$11)),0)</f>
        <v>0</v>
      </c>
      <c r="AF75" s="545">
        <f ca="1">IF(AND($D75="Serviço",AF$12&lt;&gt;0,$H75&gt;0,OR(AUTOEVENTO&lt;&gt;"manual",$M75&lt;&gt;1)), IF(Import.TipoArredondamento&lt;&gt;"TransfereGOV", ROUND(OFFSET($P75,0,AF$13),15-13*ORÇAMENTO!$AF$7)/$H75*OFFSET(ORÇAMENTO!$X$15,ROW(AF75)-ROW(AF$15),0), ROUND(ROUND(OFFSET($P75,0,AF$13),15-13*ORÇAMENTO!$AF$7)*OFFSET(ORÇAMENTO!$W$15,ROW(AF75)-ROW(AF$15),0),15-13*ORÇAMENTO!$AF$11)),0)</f>
        <v>0</v>
      </c>
      <c r="AG75" s="545">
        <f ca="1">IF(AND($D75="Serviço",AG$12&lt;&gt;0,$H75&gt;0,OR(AUTOEVENTO&lt;&gt;"manual",$M75&lt;&gt;1)), IF(Import.TipoArredondamento&lt;&gt;"TransfereGOV", ROUND(OFFSET($P75,0,AG$13),15-13*ORÇAMENTO!$AF$7)/$H75*OFFSET(ORÇAMENTO!$X$15,ROW(AG75)-ROW(AG$15),0), ROUND(ROUND(OFFSET($P75,0,AG$13),15-13*ORÇAMENTO!$AF$7)*OFFSET(ORÇAMENTO!$W$15,ROW(AG75)-ROW(AG$15),0),15-13*ORÇAMENTO!$AF$11)),0)</f>
        <v>0</v>
      </c>
      <c r="AH75" s="545">
        <f ca="1">IF(AND($D75="Serviço",AH$12&lt;&gt;0,$H75&gt;0,OR(AUTOEVENTO&lt;&gt;"manual",$M75&lt;&gt;1)), IF(Import.TipoArredondamento&lt;&gt;"TransfereGOV", ROUND(OFFSET($P75,0,AH$13),15-13*ORÇAMENTO!$AF$7)/$H75*OFFSET(ORÇAMENTO!$X$15,ROW(AH75)-ROW(AH$15),0), ROUND(ROUND(OFFSET($P75,0,AH$13),15-13*ORÇAMENTO!$AF$7)*OFFSET(ORÇAMENTO!$W$15,ROW(AH75)-ROW(AH$15),0),15-13*ORÇAMENTO!$AF$11)),0)</f>
        <v>0</v>
      </c>
      <c r="AI75" s="545">
        <f ca="1">IF(AND($D75="Serviço",AI$12&lt;&gt;0,$H75&gt;0,OR(AUTOEVENTO&lt;&gt;"manual",$M75&lt;&gt;1)), IF(Import.TipoArredondamento&lt;&gt;"TransfereGOV", ROUND(OFFSET($P75,0,AI$13),15-13*ORÇAMENTO!$AF$7)/$H75*OFFSET(ORÇAMENTO!$X$15,ROW(AI75)-ROW(AI$15),0), ROUND(ROUND(OFFSET($P75,0,AI$13),15-13*ORÇAMENTO!$AF$7)*OFFSET(ORÇAMENTO!$W$15,ROW(AI75)-ROW(AI$15),0),15-13*ORÇAMENTO!$AF$11)),0)</f>
        <v>0</v>
      </c>
      <c r="AJ75" s="545">
        <f ca="1">IF(AND($D75="Serviço",AJ$12&lt;&gt;0,$H75&gt;0,OR(AUTOEVENTO&lt;&gt;"manual",$M75&lt;&gt;1)), IF(Import.TipoArredondamento&lt;&gt;"TransfereGOV", ROUND(OFFSET($P75,0,AJ$13),15-13*ORÇAMENTO!$AF$7)/$H75*OFFSET(ORÇAMENTO!$X$15,ROW(AJ75)-ROW(AJ$15),0), ROUND(ROUND(OFFSET($P75,0,AJ$13),15-13*ORÇAMENTO!$AF$7)*OFFSET(ORÇAMENTO!$W$15,ROW(AJ75)-ROW(AJ$15),0),15-13*ORÇAMENTO!$AF$11)),0)</f>
        <v>0</v>
      </c>
      <c r="AK75" s="546">
        <f ca="1">IF(AND($D75="Serviço",AK$12&lt;&gt;0,$H75&gt;0,OR(AUTOEVENTO&lt;&gt;"manual",$M75&lt;&gt;1)), IF(Import.TipoArredondamento&lt;&gt;"TransfereGOV", ROUND(OFFSET($P75,0,AK$13),15-13*ORÇAMENTO!$AF$7)/$H75*OFFSET(ORÇAMENTO!$X$15,ROW(AK75)-ROW(AK$15),0), ROUND(ROUND(OFFSET($P75,0,AK$13),15-13*ORÇAMENTO!$AF$7)*OFFSET(ORÇAMENTO!$W$15,ROW(AK75)-ROW(AK$15),0),15-13*ORÇAMENTO!$AF$11)),0)</f>
        <v>0</v>
      </c>
      <c r="AM75" s="181">
        <f ca="1">IF($D75&lt;&gt;"Serviço",0,IF(AND(AUTOEVENTO="Manual",$M75=1),0,IF(OFFSET(CRONOPLE!$F$14,$M75,AM$13)="",10^12,OFFSET(CRONOPLE!$F$14,$M75,AM$13))))</f>
        <v>1000000000000</v>
      </c>
      <c r="AN75" s="181">
        <f ca="1">IF($D75&lt;&gt;"Serviço",0,IF(AND(AUTOEVENTO="Manual",$M75=1),0,IF(OFFSET(CRONOPLE!$F$14,$M75,AN$13)="",10^12,OFFSET(CRONOPLE!$F$14,$M75,AN$13))))</f>
        <v>1000000000000</v>
      </c>
      <c r="AO75" s="181">
        <f ca="1">IF($D75&lt;&gt;"Serviço",0,IF(AND(AUTOEVENTO="Manual",$M75=1),0,IF(OFFSET(CRONOPLE!$F$14,$M75,AO$13)="",10^12,OFFSET(CRONOPLE!$F$14,$M75,AO$13))))</f>
        <v>1000000000000</v>
      </c>
      <c r="AP75" s="181">
        <f ca="1">IF($D75&lt;&gt;"Serviço",0,IF(AND(AUTOEVENTO="Manual",$M75=1),0,IF(OFFSET(CRONOPLE!$F$14,$M75,AP$13)="",10^12,OFFSET(CRONOPLE!$F$14,$M75,AP$13))))</f>
        <v>1000000000000</v>
      </c>
      <c r="AQ75" s="181">
        <f ca="1">IF($D75&lt;&gt;"Serviço",0,IF(AND(AUTOEVENTO="Manual",$M75=1),0,IF(OFFSET(CRONOPLE!$F$14,$M75,AQ$13)="",10^12,OFFSET(CRONOPLE!$F$14,$M75,AQ$13))))</f>
        <v>1000000000000</v>
      </c>
      <c r="AR75" s="181">
        <f ca="1">IF($D75&lt;&gt;"Serviço",0,IF(AND(AUTOEVENTO="Manual",$M75=1),0,IF(OFFSET(CRONOPLE!$F$14,$M75,AR$13)="",10^12,OFFSET(CRONOPLE!$F$14,$M75,AR$13))))</f>
        <v>1000000000000</v>
      </c>
      <c r="AS75" s="181">
        <f ca="1">IF($D75&lt;&gt;"Serviço",0,IF(AND(AUTOEVENTO="Manual",$M75=1),0,IF(OFFSET(CRONOPLE!$F$14,$M75,AS$13)="",10^12,OFFSET(CRONOPLE!$F$14,$M75,AS$13))))</f>
        <v>1000000000000</v>
      </c>
      <c r="AT75" s="181">
        <f ca="1">IF($D75&lt;&gt;"Serviço",0,IF(AND(AUTOEVENTO="Manual",$M75=1),0,IF(OFFSET(CRONOPLE!$F$14,$M75,AT$13)="",10^12,OFFSET(CRONOPLE!$F$14,$M75,AT$13))))</f>
        <v>1000000000000</v>
      </c>
      <c r="AU75" s="181">
        <f ca="1">IF($D75&lt;&gt;"Serviço",0,IF(AND(AUTOEVENTO="Manual",$M75=1),0,IF(OFFSET(CRONOPLE!$F$14,$M75,AU$13)="",10^12,OFFSET(CRONOPLE!$F$14,$M75,AU$13))))</f>
        <v>1000000000000</v>
      </c>
      <c r="AV75" s="181">
        <f ca="1">IF($D75&lt;&gt;"Serviço",0,IF(AND(AUTOEVENTO="Manual",$M75=1),0,IF(OFFSET(CRONOPLE!$F$14,$M75,AV$13)="",10^12,OFFSET(CRONOPLE!$F$14,$M75,AV$13))))</f>
        <v>1000000000000</v>
      </c>
      <c r="AX75" s="182">
        <f ca="1">IF($D75&lt;&gt;"Serviço",0,IF(OR(AND(AUTOEVENTO="Manual",$M75=1),$M75&gt;(ROW(PLE.lastrow)-ROW(PLE.firstrow))),0,IF(OFFSET(PLE!$G$14,$M75,AX$13)="",10^12,OFFSET(PLE!$G$14,$M75,AX$13))))</f>
        <v>1000000000000</v>
      </c>
      <c r="AY75" s="182">
        <f ca="1">IF($D75&lt;&gt;"Serviço",0,IF(OR(AND(AUTOEVENTO="Manual",$M75=1),$M75&gt;(ROW(PLE.lastrow)-ROW(PLE.firstrow))),0,IF(OFFSET(PLE!$G$14,$M75,AY$13)="",10^12,OFFSET(PLE!$G$14,$M75,AY$13))))</f>
        <v>1000000000000</v>
      </c>
      <c r="AZ75" s="182">
        <f ca="1">IF($D75&lt;&gt;"Serviço",0,IF(OR(AND(AUTOEVENTO="Manual",$M75=1),$M75&gt;(ROW(PLE.lastrow)-ROW(PLE.firstrow))),0,IF(OFFSET(PLE!$G$14,$M75,AZ$13)="",10^12,OFFSET(PLE!$G$14,$M75,AZ$13))))</f>
        <v>1000000000000</v>
      </c>
      <c r="BA75" s="182">
        <f ca="1">IF($D75&lt;&gt;"Serviço",0,IF(OR(AND(AUTOEVENTO="Manual",$M75=1),$M75&gt;(ROW(PLE.lastrow)-ROW(PLE.firstrow))),0,IF(OFFSET(PLE!$G$14,$M75,BA$13)="",10^12,OFFSET(PLE!$G$14,$M75,BA$13))))</f>
        <v>1000000000000</v>
      </c>
      <c r="BB75" s="182">
        <f ca="1">IF($D75&lt;&gt;"Serviço",0,IF(OR(AND(AUTOEVENTO="Manual",$M75=1),$M75&gt;(ROW(PLE.lastrow)-ROW(PLE.firstrow))),0,IF(OFFSET(PLE!$G$14,$M75,BB$13)="",10^12,OFFSET(PLE!$G$14,$M75,BB$13))))</f>
        <v>1000000000000</v>
      </c>
      <c r="BC75" s="182">
        <f ca="1">IF($D75&lt;&gt;"Serviço",0,IF(OR(AND(AUTOEVENTO="Manual",$M75=1),$M75&gt;(ROW(PLE.lastrow)-ROW(PLE.firstrow))),0,IF(OFFSET(PLE!$G$14,$M75,BC$13)="",10^12,OFFSET(PLE!$G$14,$M75,BC$13))))</f>
        <v>1000000000000</v>
      </c>
      <c r="BD75" s="182">
        <f ca="1">IF($D75&lt;&gt;"Serviço",0,IF(OR(AND(AUTOEVENTO="Manual",$M75=1),$M75&gt;(ROW(PLE.lastrow)-ROW(PLE.firstrow))),0,IF(OFFSET(PLE!$G$14,$M75,BD$13)="",10^12,OFFSET(PLE!$G$14,$M75,BD$13))))</f>
        <v>1000000000000</v>
      </c>
      <c r="BE75" s="182">
        <f ca="1">IF($D75&lt;&gt;"Serviço",0,IF(OR(AND(AUTOEVENTO="Manual",$M75=1),$M75&gt;(ROW(PLE.lastrow)-ROW(PLE.firstrow))),0,IF(OFFSET(PLE!$G$14,$M75,BE$13)="",10^12,OFFSET(PLE!$G$14,$M75,BE$13))))</f>
        <v>1000000000000</v>
      </c>
      <c r="BF75" s="182">
        <f ca="1">IF($D75&lt;&gt;"Serviço",0,IF(OR(AND(AUTOEVENTO="Manual",$M75=1),$M75&gt;(ROW(PLE.lastrow)-ROW(PLE.firstrow))),0,IF(OFFSET(PLE!$G$14,$M75,BF$13)="",10^12,OFFSET(PLE!$G$14,$M75,BF$13))))</f>
        <v>1000000000000</v>
      </c>
      <c r="BG75" s="182">
        <f ca="1">IF($D75&lt;&gt;"Serviço",0,IF(OR(AND(AUTOEVENTO="Manual",$M75=1),$M75&gt;(ROW(PLE.lastrow)-ROW(PLE.firstrow))),0,IF(OFFSET(PLE!$G$14,$M75,BG$13)="",10^12,OFFSET(PLE!$G$14,$M75,BG$13))))</f>
        <v>1000000000000</v>
      </c>
    </row>
    <row r="76" spans="1:59" ht="12.75" x14ac:dyDescent="0.2">
      <c r="A76" s="7" t="str">
        <f t="shared" ca="1" si="8"/>
        <v>58</v>
      </c>
      <c r="B76" s="7" t="str">
        <f ca="1">OFFSET(ORÇAMENTO!C$15,ROW(B76)-ROW(B$15),0)</f>
        <v>S</v>
      </c>
      <c r="C76" s="7" t="str">
        <f ca="1">OFFSET(ORÇAMENTO!L$15,ROW(C76)-ROW(C$15),0)</f>
        <v>F</v>
      </c>
      <c r="D76" s="118" t="str">
        <f ca="1">OFFSET(ORÇAMENTO!N$15,ROW(D76)-ROW(D$15),0)</f>
        <v>Serviço</v>
      </c>
      <c r="E76" s="119" t="str">
        <f ca="1">OFFSET(ORÇAMENTO!O$15,ROW(E76)-ROW(E$15),0)</f>
        <v>2.4.3.</v>
      </c>
      <c r="F76" s="172" t="str">
        <f ca="1">OFFSET(ORÇAMENTO!R$15,ROW(F76)-ROW(F$15),0)</f>
        <v>Concreto asfáltico - faixa C-12,5 - areia e brita comerciais</v>
      </c>
      <c r="G76" s="173" t="str">
        <f ca="1">IF($D76&lt;&gt;"Serviço","",OFFSET(ORÇAMENTO!S$15,ROW(G76)-ROW(G$15),0))</f>
        <v>t</v>
      </c>
      <c r="H76" s="124">
        <f ca="1">IF($D76&lt;&gt;"Serviço",0,IF(ACOMPANHAMENTO="BM",ROUND(OFFSET(ORÇAMENTO!AJ$15,ROW(H76)-ROW(H$15),0),15-13*ORÇAMENTO!$AF$7),SUMPRODUCT(($Q$12:$AA$12&lt;&gt;"")*ROUND($Q76:$AA76,15-13*ORÇAMENTO!$AF$7))))</f>
        <v>528.77</v>
      </c>
      <c r="I76" s="561"/>
      <c r="K76" s="174"/>
      <c r="L76" s="175" t="s">
        <v>255</v>
      </c>
      <c r="M76" s="176">
        <f ca="1">IF($D76&lt;&gt;"Serviço","",IF(AUTOEVENTO="manual",$A76,IF(ISERROR(MATCH($A76,$A$15:OFFSET($A76,-1,0),0)),MAX($M$15:OFFSET(M76,-1,0))+1,INDEX($M$15:OFFSET(M76,-1,0),MATCH($A76,$A$15:OFFSET($A76,-1,0),0)))))</f>
        <v>10</v>
      </c>
      <c r="N76" s="177" t="str">
        <f ca="1">IF($D76&lt;&gt;"Serviço","",IF(AUTOEVENTO="Manual",IF($A76=0,"&lt;-- defina o número do agrupador",OFFSET(EVENTOS!$D$14,$A76,0)),OFFSET($F$15,$A76,0)))</f>
        <v>PAVIMENTAÇÃO</v>
      </c>
      <c r="O76" s="178"/>
      <c r="Q76" s="178"/>
      <c r="R76" s="179"/>
      <c r="S76" s="179"/>
      <c r="T76" s="179"/>
      <c r="U76" s="179"/>
      <c r="V76" s="179"/>
      <c r="W76" s="179"/>
      <c r="X76" s="179"/>
      <c r="Y76" s="179"/>
      <c r="Z76" s="180"/>
      <c r="AB76" s="544">
        <f ca="1">IF(AND($D76="Serviço",AB$12&lt;&gt;0,$H76&gt;0,OR(AUTOEVENTO&lt;&gt;"manual",$M76&lt;&gt;1)), IF(Import.TipoArredondamento&lt;&gt;"TransfereGOV", ROUND(OFFSET($P76,0,AB$13),15-13*ORÇAMENTO!$AF$7)/$H76*OFFSET(ORÇAMENTO!$X$15,ROW(AB76)-ROW(AB$15),0), ROUND(ROUND(OFFSET($P76,0,AB$13),15-13*ORÇAMENTO!$AF$7)*OFFSET(ORÇAMENTO!$W$15,ROW(AB76)-ROW(AB$15),0),15-13*ORÇAMENTO!$AF$11)),0)</f>
        <v>0</v>
      </c>
      <c r="AC76" s="545">
        <f ca="1">IF(AND($D76="Serviço",AC$12&lt;&gt;0,$H76&gt;0,OR(AUTOEVENTO&lt;&gt;"manual",$M76&lt;&gt;1)), IF(Import.TipoArredondamento&lt;&gt;"TransfereGOV", ROUND(OFFSET($P76,0,AC$13),15-13*ORÇAMENTO!$AF$7)/$H76*OFFSET(ORÇAMENTO!$X$15,ROW(AC76)-ROW(AC$15),0), ROUND(ROUND(OFFSET($P76,0,AC$13),15-13*ORÇAMENTO!$AF$7)*OFFSET(ORÇAMENTO!$W$15,ROW(AC76)-ROW(AC$15),0),15-13*ORÇAMENTO!$AF$11)),0)</f>
        <v>0</v>
      </c>
      <c r="AD76" s="545">
        <f ca="1">IF(AND($D76="Serviço",AD$12&lt;&gt;0,$H76&gt;0,OR(AUTOEVENTO&lt;&gt;"manual",$M76&lt;&gt;1)), IF(Import.TipoArredondamento&lt;&gt;"TransfereGOV", ROUND(OFFSET($P76,0,AD$13),15-13*ORÇAMENTO!$AF$7)/$H76*OFFSET(ORÇAMENTO!$X$15,ROW(AD76)-ROW(AD$15),0), ROUND(ROUND(OFFSET($P76,0,AD$13),15-13*ORÇAMENTO!$AF$7)*OFFSET(ORÇAMENTO!$W$15,ROW(AD76)-ROW(AD$15),0),15-13*ORÇAMENTO!$AF$11)),0)</f>
        <v>0</v>
      </c>
      <c r="AE76" s="545">
        <f ca="1">IF(AND($D76="Serviço",AE$12&lt;&gt;0,$H76&gt;0,OR(AUTOEVENTO&lt;&gt;"manual",$M76&lt;&gt;1)), IF(Import.TipoArredondamento&lt;&gt;"TransfereGOV", ROUND(OFFSET($P76,0,AE$13),15-13*ORÇAMENTO!$AF$7)/$H76*OFFSET(ORÇAMENTO!$X$15,ROW(AE76)-ROW(AE$15),0), ROUND(ROUND(OFFSET($P76,0,AE$13),15-13*ORÇAMENTO!$AF$7)*OFFSET(ORÇAMENTO!$W$15,ROW(AE76)-ROW(AE$15),0),15-13*ORÇAMENTO!$AF$11)),0)</f>
        <v>0</v>
      </c>
      <c r="AF76" s="545">
        <f ca="1">IF(AND($D76="Serviço",AF$12&lt;&gt;0,$H76&gt;0,OR(AUTOEVENTO&lt;&gt;"manual",$M76&lt;&gt;1)), IF(Import.TipoArredondamento&lt;&gt;"TransfereGOV", ROUND(OFFSET($P76,0,AF$13),15-13*ORÇAMENTO!$AF$7)/$H76*OFFSET(ORÇAMENTO!$X$15,ROW(AF76)-ROW(AF$15),0), ROUND(ROUND(OFFSET($P76,0,AF$13),15-13*ORÇAMENTO!$AF$7)*OFFSET(ORÇAMENTO!$W$15,ROW(AF76)-ROW(AF$15),0),15-13*ORÇAMENTO!$AF$11)),0)</f>
        <v>0</v>
      </c>
      <c r="AG76" s="545">
        <f ca="1">IF(AND($D76="Serviço",AG$12&lt;&gt;0,$H76&gt;0,OR(AUTOEVENTO&lt;&gt;"manual",$M76&lt;&gt;1)), IF(Import.TipoArredondamento&lt;&gt;"TransfereGOV", ROUND(OFFSET($P76,0,AG$13),15-13*ORÇAMENTO!$AF$7)/$H76*OFFSET(ORÇAMENTO!$X$15,ROW(AG76)-ROW(AG$15),0), ROUND(ROUND(OFFSET($P76,0,AG$13),15-13*ORÇAMENTO!$AF$7)*OFFSET(ORÇAMENTO!$W$15,ROW(AG76)-ROW(AG$15),0),15-13*ORÇAMENTO!$AF$11)),0)</f>
        <v>0</v>
      </c>
      <c r="AH76" s="545">
        <f ca="1">IF(AND($D76="Serviço",AH$12&lt;&gt;0,$H76&gt;0,OR(AUTOEVENTO&lt;&gt;"manual",$M76&lt;&gt;1)), IF(Import.TipoArredondamento&lt;&gt;"TransfereGOV", ROUND(OFFSET($P76,0,AH$13),15-13*ORÇAMENTO!$AF$7)/$H76*OFFSET(ORÇAMENTO!$X$15,ROW(AH76)-ROW(AH$15),0), ROUND(ROUND(OFFSET($P76,0,AH$13),15-13*ORÇAMENTO!$AF$7)*OFFSET(ORÇAMENTO!$W$15,ROW(AH76)-ROW(AH$15),0),15-13*ORÇAMENTO!$AF$11)),0)</f>
        <v>0</v>
      </c>
      <c r="AI76" s="545">
        <f ca="1">IF(AND($D76="Serviço",AI$12&lt;&gt;0,$H76&gt;0,OR(AUTOEVENTO&lt;&gt;"manual",$M76&lt;&gt;1)), IF(Import.TipoArredondamento&lt;&gt;"TransfereGOV", ROUND(OFFSET($P76,0,AI$13),15-13*ORÇAMENTO!$AF$7)/$H76*OFFSET(ORÇAMENTO!$X$15,ROW(AI76)-ROW(AI$15),0), ROUND(ROUND(OFFSET($P76,0,AI$13),15-13*ORÇAMENTO!$AF$7)*OFFSET(ORÇAMENTO!$W$15,ROW(AI76)-ROW(AI$15),0),15-13*ORÇAMENTO!$AF$11)),0)</f>
        <v>0</v>
      </c>
      <c r="AJ76" s="545">
        <f ca="1">IF(AND($D76="Serviço",AJ$12&lt;&gt;0,$H76&gt;0,OR(AUTOEVENTO&lt;&gt;"manual",$M76&lt;&gt;1)), IF(Import.TipoArredondamento&lt;&gt;"TransfereGOV", ROUND(OFFSET($P76,0,AJ$13),15-13*ORÇAMENTO!$AF$7)/$H76*OFFSET(ORÇAMENTO!$X$15,ROW(AJ76)-ROW(AJ$15),0), ROUND(ROUND(OFFSET($P76,0,AJ$13),15-13*ORÇAMENTO!$AF$7)*OFFSET(ORÇAMENTO!$W$15,ROW(AJ76)-ROW(AJ$15),0),15-13*ORÇAMENTO!$AF$11)),0)</f>
        <v>0</v>
      </c>
      <c r="AK76" s="546">
        <f ca="1">IF(AND($D76="Serviço",AK$12&lt;&gt;0,$H76&gt;0,OR(AUTOEVENTO&lt;&gt;"manual",$M76&lt;&gt;1)), IF(Import.TipoArredondamento&lt;&gt;"TransfereGOV", ROUND(OFFSET($P76,0,AK$13),15-13*ORÇAMENTO!$AF$7)/$H76*OFFSET(ORÇAMENTO!$X$15,ROW(AK76)-ROW(AK$15),0), ROUND(ROUND(OFFSET($P76,0,AK$13),15-13*ORÇAMENTO!$AF$7)*OFFSET(ORÇAMENTO!$W$15,ROW(AK76)-ROW(AK$15),0),15-13*ORÇAMENTO!$AF$11)),0)</f>
        <v>0</v>
      </c>
      <c r="AM76" s="181">
        <f ca="1">IF($D76&lt;&gt;"Serviço",0,IF(AND(AUTOEVENTO="Manual",$M76=1),0,IF(OFFSET(CRONOPLE!$F$14,$M76,AM$13)="",10^12,OFFSET(CRONOPLE!$F$14,$M76,AM$13))))</f>
        <v>1000000000000</v>
      </c>
      <c r="AN76" s="181">
        <f ca="1">IF($D76&lt;&gt;"Serviço",0,IF(AND(AUTOEVENTO="Manual",$M76=1),0,IF(OFFSET(CRONOPLE!$F$14,$M76,AN$13)="",10^12,OFFSET(CRONOPLE!$F$14,$M76,AN$13))))</f>
        <v>1000000000000</v>
      </c>
      <c r="AO76" s="181">
        <f ca="1">IF($D76&lt;&gt;"Serviço",0,IF(AND(AUTOEVENTO="Manual",$M76=1),0,IF(OFFSET(CRONOPLE!$F$14,$M76,AO$13)="",10^12,OFFSET(CRONOPLE!$F$14,$M76,AO$13))))</f>
        <v>1000000000000</v>
      </c>
      <c r="AP76" s="181">
        <f ca="1">IF($D76&lt;&gt;"Serviço",0,IF(AND(AUTOEVENTO="Manual",$M76=1),0,IF(OFFSET(CRONOPLE!$F$14,$M76,AP$13)="",10^12,OFFSET(CRONOPLE!$F$14,$M76,AP$13))))</f>
        <v>1000000000000</v>
      </c>
      <c r="AQ76" s="181">
        <f ca="1">IF($D76&lt;&gt;"Serviço",0,IF(AND(AUTOEVENTO="Manual",$M76=1),0,IF(OFFSET(CRONOPLE!$F$14,$M76,AQ$13)="",10^12,OFFSET(CRONOPLE!$F$14,$M76,AQ$13))))</f>
        <v>1000000000000</v>
      </c>
      <c r="AR76" s="181">
        <f ca="1">IF($D76&lt;&gt;"Serviço",0,IF(AND(AUTOEVENTO="Manual",$M76=1),0,IF(OFFSET(CRONOPLE!$F$14,$M76,AR$13)="",10^12,OFFSET(CRONOPLE!$F$14,$M76,AR$13))))</f>
        <v>1000000000000</v>
      </c>
      <c r="AS76" s="181">
        <f ca="1">IF($D76&lt;&gt;"Serviço",0,IF(AND(AUTOEVENTO="Manual",$M76=1),0,IF(OFFSET(CRONOPLE!$F$14,$M76,AS$13)="",10^12,OFFSET(CRONOPLE!$F$14,$M76,AS$13))))</f>
        <v>1000000000000</v>
      </c>
      <c r="AT76" s="181">
        <f ca="1">IF($D76&lt;&gt;"Serviço",0,IF(AND(AUTOEVENTO="Manual",$M76=1),0,IF(OFFSET(CRONOPLE!$F$14,$M76,AT$13)="",10^12,OFFSET(CRONOPLE!$F$14,$M76,AT$13))))</f>
        <v>1000000000000</v>
      </c>
      <c r="AU76" s="181">
        <f ca="1">IF($D76&lt;&gt;"Serviço",0,IF(AND(AUTOEVENTO="Manual",$M76=1),0,IF(OFFSET(CRONOPLE!$F$14,$M76,AU$13)="",10^12,OFFSET(CRONOPLE!$F$14,$M76,AU$13))))</f>
        <v>1000000000000</v>
      </c>
      <c r="AV76" s="181">
        <f ca="1">IF($D76&lt;&gt;"Serviço",0,IF(AND(AUTOEVENTO="Manual",$M76=1),0,IF(OFFSET(CRONOPLE!$F$14,$M76,AV$13)="",10^12,OFFSET(CRONOPLE!$F$14,$M76,AV$13))))</f>
        <v>1000000000000</v>
      </c>
      <c r="AX76" s="182">
        <f ca="1">IF($D76&lt;&gt;"Serviço",0,IF(OR(AND(AUTOEVENTO="Manual",$M76=1),$M76&gt;(ROW(PLE.lastrow)-ROW(PLE.firstrow))),0,IF(OFFSET(PLE!$G$14,$M76,AX$13)="",10^12,OFFSET(PLE!$G$14,$M76,AX$13))))</f>
        <v>1000000000000</v>
      </c>
      <c r="AY76" s="182">
        <f ca="1">IF($D76&lt;&gt;"Serviço",0,IF(OR(AND(AUTOEVENTO="Manual",$M76=1),$M76&gt;(ROW(PLE.lastrow)-ROW(PLE.firstrow))),0,IF(OFFSET(PLE!$G$14,$M76,AY$13)="",10^12,OFFSET(PLE!$G$14,$M76,AY$13))))</f>
        <v>1000000000000</v>
      </c>
      <c r="AZ76" s="182">
        <f ca="1">IF($D76&lt;&gt;"Serviço",0,IF(OR(AND(AUTOEVENTO="Manual",$M76=1),$M76&gt;(ROW(PLE.lastrow)-ROW(PLE.firstrow))),0,IF(OFFSET(PLE!$G$14,$M76,AZ$13)="",10^12,OFFSET(PLE!$G$14,$M76,AZ$13))))</f>
        <v>1000000000000</v>
      </c>
      <c r="BA76" s="182">
        <f ca="1">IF($D76&lt;&gt;"Serviço",0,IF(OR(AND(AUTOEVENTO="Manual",$M76=1),$M76&gt;(ROW(PLE.lastrow)-ROW(PLE.firstrow))),0,IF(OFFSET(PLE!$G$14,$M76,BA$13)="",10^12,OFFSET(PLE!$G$14,$M76,BA$13))))</f>
        <v>1000000000000</v>
      </c>
      <c r="BB76" s="182">
        <f ca="1">IF($D76&lt;&gt;"Serviço",0,IF(OR(AND(AUTOEVENTO="Manual",$M76=1),$M76&gt;(ROW(PLE.lastrow)-ROW(PLE.firstrow))),0,IF(OFFSET(PLE!$G$14,$M76,BB$13)="",10^12,OFFSET(PLE!$G$14,$M76,BB$13))))</f>
        <v>1000000000000</v>
      </c>
      <c r="BC76" s="182">
        <f ca="1">IF($D76&lt;&gt;"Serviço",0,IF(OR(AND(AUTOEVENTO="Manual",$M76=1),$M76&gt;(ROW(PLE.lastrow)-ROW(PLE.firstrow))),0,IF(OFFSET(PLE!$G$14,$M76,BC$13)="",10^12,OFFSET(PLE!$G$14,$M76,BC$13))))</f>
        <v>1000000000000</v>
      </c>
      <c r="BD76" s="182">
        <f ca="1">IF($D76&lt;&gt;"Serviço",0,IF(OR(AND(AUTOEVENTO="Manual",$M76=1),$M76&gt;(ROW(PLE.lastrow)-ROW(PLE.firstrow))),0,IF(OFFSET(PLE!$G$14,$M76,BD$13)="",10^12,OFFSET(PLE!$G$14,$M76,BD$13))))</f>
        <v>1000000000000</v>
      </c>
      <c r="BE76" s="182">
        <f ca="1">IF($D76&lt;&gt;"Serviço",0,IF(OR(AND(AUTOEVENTO="Manual",$M76=1),$M76&gt;(ROW(PLE.lastrow)-ROW(PLE.firstrow))),0,IF(OFFSET(PLE!$G$14,$M76,BE$13)="",10^12,OFFSET(PLE!$G$14,$M76,BE$13))))</f>
        <v>1000000000000</v>
      </c>
      <c r="BF76" s="182">
        <f ca="1">IF($D76&lt;&gt;"Serviço",0,IF(OR(AND(AUTOEVENTO="Manual",$M76=1),$M76&gt;(ROW(PLE.lastrow)-ROW(PLE.firstrow))),0,IF(OFFSET(PLE!$G$14,$M76,BF$13)="",10^12,OFFSET(PLE!$G$14,$M76,BF$13))))</f>
        <v>1000000000000</v>
      </c>
      <c r="BG76" s="182">
        <f ca="1">IF($D76&lt;&gt;"Serviço",0,IF(OR(AND(AUTOEVENTO="Manual",$M76=1),$M76&gt;(ROW(PLE.lastrow)-ROW(PLE.firstrow))),0,IF(OFFSET(PLE!$G$14,$M76,BG$13)="",10^12,OFFSET(PLE!$G$14,$M76,BG$13))))</f>
        <v>1000000000000</v>
      </c>
    </row>
    <row r="77" spans="1:59" ht="12.75" x14ac:dyDescent="0.2">
      <c r="A77" s="7" t="str">
        <f t="shared" ca="1" si="8"/>
        <v>58</v>
      </c>
      <c r="B77" s="7" t="str">
        <f ca="1">OFFSET(ORÇAMENTO!C$15,ROW(B77)-ROW(B$15),0)</f>
        <v>S</v>
      </c>
      <c r="C77" s="7" t="str">
        <f ca="1">OFFSET(ORÇAMENTO!L$15,ROW(C77)-ROW(C$15),0)</f>
        <v>F</v>
      </c>
      <c r="D77" s="118" t="str">
        <f ca="1">OFFSET(ORÇAMENTO!N$15,ROW(D77)-ROW(D$15),0)</f>
        <v>Serviço</v>
      </c>
      <c r="E77" s="119" t="str">
        <f ca="1">OFFSET(ORÇAMENTO!O$15,ROW(E77)-ROW(E$15),0)</f>
        <v>2.4.4.</v>
      </c>
      <c r="F77" s="172" t="str">
        <f ca="1">OFFSET(ORÇAMENTO!R$15,ROW(F77)-ROW(F$15),0)</f>
        <v>Transporte com caminhão basculante de 10 m³ - rodovia pavimentada</v>
      </c>
      <c r="G77" s="173" t="str">
        <f ca="1">IF($D77&lt;&gt;"Serviço","",OFFSET(ORÇAMENTO!S$15,ROW(G77)-ROW(G$15),0))</f>
        <v>tkm</v>
      </c>
      <c r="H77" s="124">
        <f ca="1">IF($D77&lt;&gt;"Serviço",0,IF(ACOMPANHAMENTO="BM",ROUND(OFFSET(ORÇAMENTO!AJ$15,ROW(H77)-ROW(H$15),0),15-13*ORÇAMENTO!$AF$7),SUMPRODUCT(($Q$12:$AA$12&lt;&gt;"")*ROUND($Q77:$AA77,15-13*ORÇAMENTO!$AF$7))))</f>
        <v>15863.1</v>
      </c>
      <c r="I77" s="561"/>
      <c r="K77" s="174"/>
      <c r="L77" s="175" t="s">
        <v>255</v>
      </c>
      <c r="M77" s="176">
        <f ca="1">IF($D77&lt;&gt;"Serviço","",IF(AUTOEVENTO="manual",$A77,IF(ISERROR(MATCH($A77,$A$15:OFFSET($A77,-1,0),0)),MAX($M$15:OFFSET(M77,-1,0))+1,INDEX($M$15:OFFSET(M77,-1,0),MATCH($A77,$A$15:OFFSET($A77,-1,0),0)))))</f>
        <v>10</v>
      </c>
      <c r="N77" s="177" t="str">
        <f ca="1">IF($D77&lt;&gt;"Serviço","",IF(AUTOEVENTO="Manual",IF($A77=0,"&lt;-- defina o número do agrupador",OFFSET(EVENTOS!$D$14,$A77,0)),OFFSET($F$15,$A77,0)))</f>
        <v>PAVIMENTAÇÃO</v>
      </c>
      <c r="O77" s="178"/>
      <c r="Q77" s="178"/>
      <c r="R77" s="179"/>
      <c r="S77" s="179"/>
      <c r="T77" s="179"/>
      <c r="U77" s="179"/>
      <c r="V77" s="179"/>
      <c r="W77" s="179"/>
      <c r="X77" s="179"/>
      <c r="Y77" s="179"/>
      <c r="Z77" s="180"/>
      <c r="AB77" s="544">
        <f ca="1">IF(AND($D77="Serviço",AB$12&lt;&gt;0,$H77&gt;0,OR(AUTOEVENTO&lt;&gt;"manual",$M77&lt;&gt;1)), IF(Import.TipoArredondamento&lt;&gt;"TransfereGOV", ROUND(OFFSET($P77,0,AB$13),15-13*ORÇAMENTO!$AF$7)/$H77*OFFSET(ORÇAMENTO!$X$15,ROW(AB77)-ROW(AB$15),0), ROUND(ROUND(OFFSET($P77,0,AB$13),15-13*ORÇAMENTO!$AF$7)*OFFSET(ORÇAMENTO!$W$15,ROW(AB77)-ROW(AB$15),0),15-13*ORÇAMENTO!$AF$11)),0)</f>
        <v>0</v>
      </c>
      <c r="AC77" s="545">
        <f ca="1">IF(AND($D77="Serviço",AC$12&lt;&gt;0,$H77&gt;0,OR(AUTOEVENTO&lt;&gt;"manual",$M77&lt;&gt;1)), IF(Import.TipoArredondamento&lt;&gt;"TransfereGOV", ROUND(OFFSET($P77,0,AC$13),15-13*ORÇAMENTO!$AF$7)/$H77*OFFSET(ORÇAMENTO!$X$15,ROW(AC77)-ROW(AC$15),0), ROUND(ROUND(OFFSET($P77,0,AC$13),15-13*ORÇAMENTO!$AF$7)*OFFSET(ORÇAMENTO!$W$15,ROW(AC77)-ROW(AC$15),0),15-13*ORÇAMENTO!$AF$11)),0)</f>
        <v>0</v>
      </c>
      <c r="AD77" s="545">
        <f ca="1">IF(AND($D77="Serviço",AD$12&lt;&gt;0,$H77&gt;0,OR(AUTOEVENTO&lt;&gt;"manual",$M77&lt;&gt;1)), IF(Import.TipoArredondamento&lt;&gt;"TransfereGOV", ROUND(OFFSET($P77,0,AD$13),15-13*ORÇAMENTO!$AF$7)/$H77*OFFSET(ORÇAMENTO!$X$15,ROW(AD77)-ROW(AD$15),0), ROUND(ROUND(OFFSET($P77,0,AD$13),15-13*ORÇAMENTO!$AF$7)*OFFSET(ORÇAMENTO!$W$15,ROW(AD77)-ROW(AD$15),0),15-13*ORÇAMENTO!$AF$11)),0)</f>
        <v>0</v>
      </c>
      <c r="AE77" s="545">
        <f ca="1">IF(AND($D77="Serviço",AE$12&lt;&gt;0,$H77&gt;0,OR(AUTOEVENTO&lt;&gt;"manual",$M77&lt;&gt;1)), IF(Import.TipoArredondamento&lt;&gt;"TransfereGOV", ROUND(OFFSET($P77,0,AE$13),15-13*ORÇAMENTO!$AF$7)/$H77*OFFSET(ORÇAMENTO!$X$15,ROW(AE77)-ROW(AE$15),0), ROUND(ROUND(OFFSET($P77,0,AE$13),15-13*ORÇAMENTO!$AF$7)*OFFSET(ORÇAMENTO!$W$15,ROW(AE77)-ROW(AE$15),0),15-13*ORÇAMENTO!$AF$11)),0)</f>
        <v>0</v>
      </c>
      <c r="AF77" s="545">
        <f ca="1">IF(AND($D77="Serviço",AF$12&lt;&gt;0,$H77&gt;0,OR(AUTOEVENTO&lt;&gt;"manual",$M77&lt;&gt;1)), IF(Import.TipoArredondamento&lt;&gt;"TransfereGOV", ROUND(OFFSET($P77,0,AF$13),15-13*ORÇAMENTO!$AF$7)/$H77*OFFSET(ORÇAMENTO!$X$15,ROW(AF77)-ROW(AF$15),0), ROUND(ROUND(OFFSET($P77,0,AF$13),15-13*ORÇAMENTO!$AF$7)*OFFSET(ORÇAMENTO!$W$15,ROW(AF77)-ROW(AF$15),0),15-13*ORÇAMENTO!$AF$11)),0)</f>
        <v>0</v>
      </c>
      <c r="AG77" s="545">
        <f ca="1">IF(AND($D77="Serviço",AG$12&lt;&gt;0,$H77&gt;0,OR(AUTOEVENTO&lt;&gt;"manual",$M77&lt;&gt;1)), IF(Import.TipoArredondamento&lt;&gt;"TransfereGOV", ROUND(OFFSET($P77,0,AG$13),15-13*ORÇAMENTO!$AF$7)/$H77*OFFSET(ORÇAMENTO!$X$15,ROW(AG77)-ROW(AG$15),0), ROUND(ROUND(OFFSET($P77,0,AG$13),15-13*ORÇAMENTO!$AF$7)*OFFSET(ORÇAMENTO!$W$15,ROW(AG77)-ROW(AG$15),0),15-13*ORÇAMENTO!$AF$11)),0)</f>
        <v>0</v>
      </c>
      <c r="AH77" s="545">
        <f ca="1">IF(AND($D77="Serviço",AH$12&lt;&gt;0,$H77&gt;0,OR(AUTOEVENTO&lt;&gt;"manual",$M77&lt;&gt;1)), IF(Import.TipoArredondamento&lt;&gt;"TransfereGOV", ROUND(OFFSET($P77,0,AH$13),15-13*ORÇAMENTO!$AF$7)/$H77*OFFSET(ORÇAMENTO!$X$15,ROW(AH77)-ROW(AH$15),0), ROUND(ROUND(OFFSET($P77,0,AH$13),15-13*ORÇAMENTO!$AF$7)*OFFSET(ORÇAMENTO!$W$15,ROW(AH77)-ROW(AH$15),0),15-13*ORÇAMENTO!$AF$11)),0)</f>
        <v>0</v>
      </c>
      <c r="AI77" s="545">
        <f ca="1">IF(AND($D77="Serviço",AI$12&lt;&gt;0,$H77&gt;0,OR(AUTOEVENTO&lt;&gt;"manual",$M77&lt;&gt;1)), IF(Import.TipoArredondamento&lt;&gt;"TransfereGOV", ROUND(OFFSET($P77,0,AI$13),15-13*ORÇAMENTO!$AF$7)/$H77*OFFSET(ORÇAMENTO!$X$15,ROW(AI77)-ROW(AI$15),0), ROUND(ROUND(OFFSET($P77,0,AI$13),15-13*ORÇAMENTO!$AF$7)*OFFSET(ORÇAMENTO!$W$15,ROW(AI77)-ROW(AI$15),0),15-13*ORÇAMENTO!$AF$11)),0)</f>
        <v>0</v>
      </c>
      <c r="AJ77" s="545">
        <f ca="1">IF(AND($D77="Serviço",AJ$12&lt;&gt;0,$H77&gt;0,OR(AUTOEVENTO&lt;&gt;"manual",$M77&lt;&gt;1)), IF(Import.TipoArredondamento&lt;&gt;"TransfereGOV", ROUND(OFFSET($P77,0,AJ$13),15-13*ORÇAMENTO!$AF$7)/$H77*OFFSET(ORÇAMENTO!$X$15,ROW(AJ77)-ROW(AJ$15),0), ROUND(ROUND(OFFSET($P77,0,AJ$13),15-13*ORÇAMENTO!$AF$7)*OFFSET(ORÇAMENTO!$W$15,ROW(AJ77)-ROW(AJ$15),0),15-13*ORÇAMENTO!$AF$11)),0)</f>
        <v>0</v>
      </c>
      <c r="AK77" s="546">
        <f ca="1">IF(AND($D77="Serviço",AK$12&lt;&gt;0,$H77&gt;0,OR(AUTOEVENTO&lt;&gt;"manual",$M77&lt;&gt;1)), IF(Import.TipoArredondamento&lt;&gt;"TransfereGOV", ROUND(OFFSET($P77,0,AK$13),15-13*ORÇAMENTO!$AF$7)/$H77*OFFSET(ORÇAMENTO!$X$15,ROW(AK77)-ROW(AK$15),0), ROUND(ROUND(OFFSET($P77,0,AK$13),15-13*ORÇAMENTO!$AF$7)*OFFSET(ORÇAMENTO!$W$15,ROW(AK77)-ROW(AK$15),0),15-13*ORÇAMENTO!$AF$11)),0)</f>
        <v>0</v>
      </c>
      <c r="AM77" s="181">
        <f ca="1">IF($D77&lt;&gt;"Serviço",0,IF(AND(AUTOEVENTO="Manual",$M77=1),0,IF(OFFSET(CRONOPLE!$F$14,$M77,AM$13)="",10^12,OFFSET(CRONOPLE!$F$14,$M77,AM$13))))</f>
        <v>1000000000000</v>
      </c>
      <c r="AN77" s="181">
        <f ca="1">IF($D77&lt;&gt;"Serviço",0,IF(AND(AUTOEVENTO="Manual",$M77=1),0,IF(OFFSET(CRONOPLE!$F$14,$M77,AN$13)="",10^12,OFFSET(CRONOPLE!$F$14,$M77,AN$13))))</f>
        <v>1000000000000</v>
      </c>
      <c r="AO77" s="181">
        <f ca="1">IF($D77&lt;&gt;"Serviço",0,IF(AND(AUTOEVENTO="Manual",$M77=1),0,IF(OFFSET(CRONOPLE!$F$14,$M77,AO$13)="",10^12,OFFSET(CRONOPLE!$F$14,$M77,AO$13))))</f>
        <v>1000000000000</v>
      </c>
      <c r="AP77" s="181">
        <f ca="1">IF($D77&lt;&gt;"Serviço",0,IF(AND(AUTOEVENTO="Manual",$M77=1),0,IF(OFFSET(CRONOPLE!$F$14,$M77,AP$13)="",10^12,OFFSET(CRONOPLE!$F$14,$M77,AP$13))))</f>
        <v>1000000000000</v>
      </c>
      <c r="AQ77" s="181">
        <f ca="1">IF($D77&lt;&gt;"Serviço",0,IF(AND(AUTOEVENTO="Manual",$M77=1),0,IF(OFFSET(CRONOPLE!$F$14,$M77,AQ$13)="",10^12,OFFSET(CRONOPLE!$F$14,$M77,AQ$13))))</f>
        <v>1000000000000</v>
      </c>
      <c r="AR77" s="181">
        <f ca="1">IF($D77&lt;&gt;"Serviço",0,IF(AND(AUTOEVENTO="Manual",$M77=1),0,IF(OFFSET(CRONOPLE!$F$14,$M77,AR$13)="",10^12,OFFSET(CRONOPLE!$F$14,$M77,AR$13))))</f>
        <v>1000000000000</v>
      </c>
      <c r="AS77" s="181">
        <f ca="1">IF($D77&lt;&gt;"Serviço",0,IF(AND(AUTOEVENTO="Manual",$M77=1),0,IF(OFFSET(CRONOPLE!$F$14,$M77,AS$13)="",10^12,OFFSET(CRONOPLE!$F$14,$M77,AS$13))))</f>
        <v>1000000000000</v>
      </c>
      <c r="AT77" s="181">
        <f ca="1">IF($D77&lt;&gt;"Serviço",0,IF(AND(AUTOEVENTO="Manual",$M77=1),0,IF(OFFSET(CRONOPLE!$F$14,$M77,AT$13)="",10^12,OFFSET(CRONOPLE!$F$14,$M77,AT$13))))</f>
        <v>1000000000000</v>
      </c>
      <c r="AU77" s="181">
        <f ca="1">IF($D77&lt;&gt;"Serviço",0,IF(AND(AUTOEVENTO="Manual",$M77=1),0,IF(OFFSET(CRONOPLE!$F$14,$M77,AU$13)="",10^12,OFFSET(CRONOPLE!$F$14,$M77,AU$13))))</f>
        <v>1000000000000</v>
      </c>
      <c r="AV77" s="181">
        <f ca="1">IF($D77&lt;&gt;"Serviço",0,IF(AND(AUTOEVENTO="Manual",$M77=1),0,IF(OFFSET(CRONOPLE!$F$14,$M77,AV$13)="",10^12,OFFSET(CRONOPLE!$F$14,$M77,AV$13))))</f>
        <v>1000000000000</v>
      </c>
      <c r="AX77" s="182">
        <f ca="1">IF($D77&lt;&gt;"Serviço",0,IF(OR(AND(AUTOEVENTO="Manual",$M77=1),$M77&gt;(ROW(PLE.lastrow)-ROW(PLE.firstrow))),0,IF(OFFSET(PLE!$G$14,$M77,AX$13)="",10^12,OFFSET(PLE!$G$14,$M77,AX$13))))</f>
        <v>1000000000000</v>
      </c>
      <c r="AY77" s="182">
        <f ca="1">IF($D77&lt;&gt;"Serviço",0,IF(OR(AND(AUTOEVENTO="Manual",$M77=1),$M77&gt;(ROW(PLE.lastrow)-ROW(PLE.firstrow))),0,IF(OFFSET(PLE!$G$14,$M77,AY$13)="",10^12,OFFSET(PLE!$G$14,$M77,AY$13))))</f>
        <v>1000000000000</v>
      </c>
      <c r="AZ77" s="182">
        <f ca="1">IF($D77&lt;&gt;"Serviço",0,IF(OR(AND(AUTOEVENTO="Manual",$M77=1),$M77&gt;(ROW(PLE.lastrow)-ROW(PLE.firstrow))),0,IF(OFFSET(PLE!$G$14,$M77,AZ$13)="",10^12,OFFSET(PLE!$G$14,$M77,AZ$13))))</f>
        <v>1000000000000</v>
      </c>
      <c r="BA77" s="182">
        <f ca="1">IF($D77&lt;&gt;"Serviço",0,IF(OR(AND(AUTOEVENTO="Manual",$M77=1),$M77&gt;(ROW(PLE.lastrow)-ROW(PLE.firstrow))),0,IF(OFFSET(PLE!$G$14,$M77,BA$13)="",10^12,OFFSET(PLE!$G$14,$M77,BA$13))))</f>
        <v>1000000000000</v>
      </c>
      <c r="BB77" s="182">
        <f ca="1">IF($D77&lt;&gt;"Serviço",0,IF(OR(AND(AUTOEVENTO="Manual",$M77=1),$M77&gt;(ROW(PLE.lastrow)-ROW(PLE.firstrow))),0,IF(OFFSET(PLE!$G$14,$M77,BB$13)="",10^12,OFFSET(PLE!$G$14,$M77,BB$13))))</f>
        <v>1000000000000</v>
      </c>
      <c r="BC77" s="182">
        <f ca="1">IF($D77&lt;&gt;"Serviço",0,IF(OR(AND(AUTOEVENTO="Manual",$M77=1),$M77&gt;(ROW(PLE.lastrow)-ROW(PLE.firstrow))),0,IF(OFFSET(PLE!$G$14,$M77,BC$13)="",10^12,OFFSET(PLE!$G$14,$M77,BC$13))))</f>
        <v>1000000000000</v>
      </c>
      <c r="BD77" s="182">
        <f ca="1">IF($D77&lt;&gt;"Serviço",0,IF(OR(AND(AUTOEVENTO="Manual",$M77=1),$M77&gt;(ROW(PLE.lastrow)-ROW(PLE.firstrow))),0,IF(OFFSET(PLE!$G$14,$M77,BD$13)="",10^12,OFFSET(PLE!$G$14,$M77,BD$13))))</f>
        <v>1000000000000</v>
      </c>
      <c r="BE77" s="182">
        <f ca="1">IF($D77&lt;&gt;"Serviço",0,IF(OR(AND(AUTOEVENTO="Manual",$M77=1),$M77&gt;(ROW(PLE.lastrow)-ROW(PLE.firstrow))),0,IF(OFFSET(PLE!$G$14,$M77,BE$13)="",10^12,OFFSET(PLE!$G$14,$M77,BE$13))))</f>
        <v>1000000000000</v>
      </c>
      <c r="BF77" s="182">
        <f ca="1">IF($D77&lt;&gt;"Serviço",0,IF(OR(AND(AUTOEVENTO="Manual",$M77=1),$M77&gt;(ROW(PLE.lastrow)-ROW(PLE.firstrow))),0,IF(OFFSET(PLE!$G$14,$M77,BF$13)="",10^12,OFFSET(PLE!$G$14,$M77,BF$13))))</f>
        <v>1000000000000</v>
      </c>
      <c r="BG77" s="182">
        <f ca="1">IF($D77&lt;&gt;"Serviço",0,IF(OR(AND(AUTOEVENTO="Manual",$M77=1),$M77&gt;(ROW(PLE.lastrow)-ROW(PLE.firstrow))),0,IF(OFFSET(PLE!$G$14,$M77,BG$13)="",10^12,OFFSET(PLE!$G$14,$M77,BG$13))))</f>
        <v>1000000000000</v>
      </c>
    </row>
    <row r="78" spans="1:59" s="577" customFormat="1" ht="38.25" x14ac:dyDescent="0.2">
      <c r="A78" s="7" t="str">
        <f ca="1">IF(AUTOEVENTO="Manual",IF(K78&lt;&gt;"",MIN(VALUE(LEFT(K78,FIND(".",K78)-1)),COUNTA(EVENTOS.Lista)),0),IF(OR($B78&gt;AUTOEVENTO,$B78="S",$B78=0),SUBSTITUTE(OFFSET($A78,-1,0),IF($D78="Serviço",".",""),""),ROW(A78)-ROW($A$15)&amp;"."))</f>
        <v>58</v>
      </c>
      <c r="B78" s="7" t="str">
        <f ca="1">OFFSET(ORÇAMENTO!C$15,ROW(B78)-ROW(B$15),0)</f>
        <v>S</v>
      </c>
      <c r="C78" s="7" t="str">
        <f ca="1">OFFSET(ORÇAMENTO!L$15,ROW(C78)-ROW(C$15),0)</f>
        <v>F</v>
      </c>
      <c r="D78" s="118" t="str">
        <f ca="1">OFFSET(ORÇAMENTO!N$15,ROW(D78)-ROW(D$15),0)</f>
        <v>Serviço</v>
      </c>
      <c r="E78" s="119" t="str">
        <f ca="1">OFFSET(ORÇAMENTO!O$15,ROW(E78)-ROW(E$15),0)</f>
        <v>2.4.5.</v>
      </c>
      <c r="F78" s="172" t="str">
        <f ca="1">OFFSET(ORÇAMENTO!R$15,ROW(F78)-ROW(F$15),0)</f>
        <v>Carga, manobra e descarga de concreto asfáltico com borracha em caminhão basculante de 10 m³ - carga em usina de asfalto 100/140 t/h e descarga em vibroacabadora</v>
      </c>
      <c r="G78" s="173" t="str">
        <f ca="1">IF($D78&lt;&gt;"Serviço","",OFFSET(ORÇAMENTO!S$15,ROW(G78)-ROW(G$15),0))</f>
        <v>t</v>
      </c>
      <c r="H78" s="124">
        <f ca="1">IF($D78&lt;&gt;"Serviço",0,IF(ACOMPANHAMENTO="BM",ROUND(OFFSET(ORÇAMENTO!AJ$15,ROW(H78)-ROW(H$15),0),15-13*ORÇAMENTO!$AF$7),SUMPRODUCT(($Q$12:$AA$12&lt;&gt;"")*ROUND($Q78:$AA78,15-13*ORÇAMENTO!$AF$7))))</f>
        <v>528.77</v>
      </c>
      <c r="I78" s="561"/>
      <c r="K78" s="174"/>
      <c r="L78" s="175" t="s">
        <v>255</v>
      </c>
      <c r="M78" s="176">
        <f ca="1">IF($D78&lt;&gt;"Serviço","",IF(AUTOEVENTO="manual",$A78,IF(ISERROR(MATCH($A78,$A$15:OFFSET($A78,-1,0),0)),MAX($M$15:OFFSET(M78,-1,0))+1,INDEX($M$15:OFFSET(M78,-1,0),MATCH($A78,$A$15:OFFSET($A78,-1,0),0)))))</f>
        <v>10</v>
      </c>
      <c r="N78" s="177" t="str">
        <f ca="1">IF($D78&lt;&gt;"Serviço","",IF(AUTOEVENTO="Manual",IF($A78=0,"&lt;-- defina o número do agrupador",OFFSET(EVENTOS!$D$14,$A78,0)),OFFSET($F$15,$A78,0)))</f>
        <v>PAVIMENTAÇÃO</v>
      </c>
      <c r="O78" s="178"/>
      <c r="Q78" s="178"/>
      <c r="R78" s="179"/>
      <c r="S78" s="179"/>
      <c r="T78" s="179"/>
      <c r="U78" s="179"/>
      <c r="V78" s="179"/>
      <c r="W78" s="179"/>
      <c r="X78" s="179"/>
      <c r="Y78" s="179"/>
      <c r="Z78" s="180"/>
      <c r="AB78" s="544">
        <f ca="1">IF(AND($D78="Serviço",AB$12&lt;&gt;0,$H78&gt;0,OR(AUTOEVENTO&lt;&gt;"manual",$M78&lt;&gt;1)), IF(Import.TipoArredondamento&lt;&gt;"TransfereGOV", ROUND(OFFSET($P78,0,AB$13),15-13*ORÇAMENTO!$AF$7)/$H78*OFFSET(ORÇAMENTO!$X$15,ROW(AB78)-ROW(AB$15),0), ROUND(ROUND(OFFSET($P78,0,AB$13),15-13*ORÇAMENTO!$AF$7)*OFFSET(ORÇAMENTO!$W$15,ROW(AB78)-ROW(AB$15),0),15-13*ORÇAMENTO!$AF$11)),0)</f>
        <v>0</v>
      </c>
      <c r="AC78" s="545">
        <f ca="1">IF(AND($D78="Serviço",AC$12&lt;&gt;0,$H78&gt;0,OR(AUTOEVENTO&lt;&gt;"manual",$M78&lt;&gt;1)), IF(Import.TipoArredondamento&lt;&gt;"TransfereGOV", ROUND(OFFSET($P78,0,AC$13),15-13*ORÇAMENTO!$AF$7)/$H78*OFFSET(ORÇAMENTO!$X$15,ROW(AC78)-ROW(AC$15),0), ROUND(ROUND(OFFSET($P78,0,AC$13),15-13*ORÇAMENTO!$AF$7)*OFFSET(ORÇAMENTO!$W$15,ROW(AC78)-ROW(AC$15),0),15-13*ORÇAMENTO!$AF$11)),0)</f>
        <v>0</v>
      </c>
      <c r="AD78" s="545">
        <f ca="1">IF(AND($D78="Serviço",AD$12&lt;&gt;0,$H78&gt;0,OR(AUTOEVENTO&lt;&gt;"manual",$M78&lt;&gt;1)), IF(Import.TipoArredondamento&lt;&gt;"TransfereGOV", ROUND(OFFSET($P78,0,AD$13),15-13*ORÇAMENTO!$AF$7)/$H78*OFFSET(ORÇAMENTO!$X$15,ROW(AD78)-ROW(AD$15),0), ROUND(ROUND(OFFSET($P78,0,AD$13),15-13*ORÇAMENTO!$AF$7)*OFFSET(ORÇAMENTO!$W$15,ROW(AD78)-ROW(AD$15),0),15-13*ORÇAMENTO!$AF$11)),0)</f>
        <v>0</v>
      </c>
      <c r="AE78" s="545">
        <f ca="1">IF(AND($D78="Serviço",AE$12&lt;&gt;0,$H78&gt;0,OR(AUTOEVENTO&lt;&gt;"manual",$M78&lt;&gt;1)), IF(Import.TipoArredondamento&lt;&gt;"TransfereGOV", ROUND(OFFSET($P78,0,AE$13),15-13*ORÇAMENTO!$AF$7)/$H78*OFFSET(ORÇAMENTO!$X$15,ROW(AE78)-ROW(AE$15),0), ROUND(ROUND(OFFSET($P78,0,AE$13),15-13*ORÇAMENTO!$AF$7)*OFFSET(ORÇAMENTO!$W$15,ROW(AE78)-ROW(AE$15),0),15-13*ORÇAMENTO!$AF$11)),0)</f>
        <v>0</v>
      </c>
      <c r="AF78" s="545">
        <f ca="1">IF(AND($D78="Serviço",AF$12&lt;&gt;0,$H78&gt;0,OR(AUTOEVENTO&lt;&gt;"manual",$M78&lt;&gt;1)), IF(Import.TipoArredondamento&lt;&gt;"TransfereGOV", ROUND(OFFSET($P78,0,AF$13),15-13*ORÇAMENTO!$AF$7)/$H78*OFFSET(ORÇAMENTO!$X$15,ROW(AF78)-ROW(AF$15),0), ROUND(ROUND(OFFSET($P78,0,AF$13),15-13*ORÇAMENTO!$AF$7)*OFFSET(ORÇAMENTO!$W$15,ROW(AF78)-ROW(AF$15),0),15-13*ORÇAMENTO!$AF$11)),0)</f>
        <v>0</v>
      </c>
      <c r="AG78" s="545">
        <f ca="1">IF(AND($D78="Serviço",AG$12&lt;&gt;0,$H78&gt;0,OR(AUTOEVENTO&lt;&gt;"manual",$M78&lt;&gt;1)), IF(Import.TipoArredondamento&lt;&gt;"TransfereGOV", ROUND(OFFSET($P78,0,AG$13),15-13*ORÇAMENTO!$AF$7)/$H78*OFFSET(ORÇAMENTO!$X$15,ROW(AG78)-ROW(AG$15),0), ROUND(ROUND(OFFSET($P78,0,AG$13),15-13*ORÇAMENTO!$AF$7)*OFFSET(ORÇAMENTO!$W$15,ROW(AG78)-ROW(AG$15),0),15-13*ORÇAMENTO!$AF$11)),0)</f>
        <v>0</v>
      </c>
      <c r="AH78" s="545">
        <f ca="1">IF(AND($D78="Serviço",AH$12&lt;&gt;0,$H78&gt;0,OR(AUTOEVENTO&lt;&gt;"manual",$M78&lt;&gt;1)), IF(Import.TipoArredondamento&lt;&gt;"TransfereGOV", ROUND(OFFSET($P78,0,AH$13),15-13*ORÇAMENTO!$AF$7)/$H78*OFFSET(ORÇAMENTO!$X$15,ROW(AH78)-ROW(AH$15),0), ROUND(ROUND(OFFSET($P78,0,AH$13),15-13*ORÇAMENTO!$AF$7)*OFFSET(ORÇAMENTO!$W$15,ROW(AH78)-ROW(AH$15),0),15-13*ORÇAMENTO!$AF$11)),0)</f>
        <v>0</v>
      </c>
      <c r="AI78" s="545">
        <f ca="1">IF(AND($D78="Serviço",AI$12&lt;&gt;0,$H78&gt;0,OR(AUTOEVENTO&lt;&gt;"manual",$M78&lt;&gt;1)), IF(Import.TipoArredondamento&lt;&gt;"TransfereGOV", ROUND(OFFSET($P78,0,AI$13),15-13*ORÇAMENTO!$AF$7)/$H78*OFFSET(ORÇAMENTO!$X$15,ROW(AI78)-ROW(AI$15),0), ROUND(ROUND(OFFSET($P78,0,AI$13),15-13*ORÇAMENTO!$AF$7)*OFFSET(ORÇAMENTO!$W$15,ROW(AI78)-ROW(AI$15),0),15-13*ORÇAMENTO!$AF$11)),0)</f>
        <v>0</v>
      </c>
      <c r="AJ78" s="545">
        <f ca="1">IF(AND($D78="Serviço",AJ$12&lt;&gt;0,$H78&gt;0,OR(AUTOEVENTO&lt;&gt;"manual",$M78&lt;&gt;1)), IF(Import.TipoArredondamento&lt;&gt;"TransfereGOV", ROUND(OFFSET($P78,0,AJ$13),15-13*ORÇAMENTO!$AF$7)/$H78*OFFSET(ORÇAMENTO!$X$15,ROW(AJ78)-ROW(AJ$15),0), ROUND(ROUND(OFFSET($P78,0,AJ$13),15-13*ORÇAMENTO!$AF$7)*OFFSET(ORÇAMENTO!$W$15,ROW(AJ78)-ROW(AJ$15),0),15-13*ORÇAMENTO!$AF$11)),0)</f>
        <v>0</v>
      </c>
      <c r="AK78" s="546">
        <f ca="1">IF(AND($D78="Serviço",AK$12&lt;&gt;0,$H78&gt;0,OR(AUTOEVENTO&lt;&gt;"manual",$M78&lt;&gt;1)), IF(Import.TipoArredondamento&lt;&gt;"TransfereGOV", ROUND(OFFSET($P78,0,AK$13),15-13*ORÇAMENTO!$AF$7)/$H78*OFFSET(ORÇAMENTO!$X$15,ROW(AK78)-ROW(AK$15),0), ROUND(ROUND(OFFSET($P78,0,AK$13),15-13*ORÇAMENTO!$AF$7)*OFFSET(ORÇAMENTO!$W$15,ROW(AK78)-ROW(AK$15),0),15-13*ORÇAMENTO!$AF$11)),0)</f>
        <v>0</v>
      </c>
      <c r="AM78" s="181">
        <f ca="1">IF($D78&lt;&gt;"Serviço",0,IF(AND(AUTOEVENTO="Manual",$M78=1),0,IF(OFFSET(CRONOPLE!$F$14,$M78,AM$13)="",10^12,OFFSET(CRONOPLE!$F$14,$M78,AM$13))))</f>
        <v>1000000000000</v>
      </c>
      <c r="AN78" s="181">
        <f ca="1">IF($D78&lt;&gt;"Serviço",0,IF(AND(AUTOEVENTO="Manual",$M78=1),0,IF(OFFSET(CRONOPLE!$F$14,$M78,AN$13)="",10^12,OFFSET(CRONOPLE!$F$14,$M78,AN$13))))</f>
        <v>1000000000000</v>
      </c>
      <c r="AO78" s="181">
        <f ca="1">IF($D78&lt;&gt;"Serviço",0,IF(AND(AUTOEVENTO="Manual",$M78=1),0,IF(OFFSET(CRONOPLE!$F$14,$M78,AO$13)="",10^12,OFFSET(CRONOPLE!$F$14,$M78,AO$13))))</f>
        <v>1000000000000</v>
      </c>
      <c r="AP78" s="181">
        <f ca="1">IF($D78&lt;&gt;"Serviço",0,IF(AND(AUTOEVENTO="Manual",$M78=1),0,IF(OFFSET(CRONOPLE!$F$14,$M78,AP$13)="",10^12,OFFSET(CRONOPLE!$F$14,$M78,AP$13))))</f>
        <v>1000000000000</v>
      </c>
      <c r="AQ78" s="181">
        <f ca="1">IF($D78&lt;&gt;"Serviço",0,IF(AND(AUTOEVENTO="Manual",$M78=1),0,IF(OFFSET(CRONOPLE!$F$14,$M78,AQ$13)="",10^12,OFFSET(CRONOPLE!$F$14,$M78,AQ$13))))</f>
        <v>1000000000000</v>
      </c>
      <c r="AR78" s="181">
        <f ca="1">IF($D78&lt;&gt;"Serviço",0,IF(AND(AUTOEVENTO="Manual",$M78=1),0,IF(OFFSET(CRONOPLE!$F$14,$M78,AR$13)="",10^12,OFFSET(CRONOPLE!$F$14,$M78,AR$13))))</f>
        <v>1000000000000</v>
      </c>
      <c r="AS78" s="181">
        <f ca="1">IF($D78&lt;&gt;"Serviço",0,IF(AND(AUTOEVENTO="Manual",$M78=1),0,IF(OFFSET(CRONOPLE!$F$14,$M78,AS$13)="",10^12,OFFSET(CRONOPLE!$F$14,$M78,AS$13))))</f>
        <v>1000000000000</v>
      </c>
      <c r="AT78" s="181">
        <f ca="1">IF($D78&lt;&gt;"Serviço",0,IF(AND(AUTOEVENTO="Manual",$M78=1),0,IF(OFFSET(CRONOPLE!$F$14,$M78,AT$13)="",10^12,OFFSET(CRONOPLE!$F$14,$M78,AT$13))))</f>
        <v>1000000000000</v>
      </c>
      <c r="AU78" s="181">
        <f ca="1">IF($D78&lt;&gt;"Serviço",0,IF(AND(AUTOEVENTO="Manual",$M78=1),0,IF(OFFSET(CRONOPLE!$F$14,$M78,AU$13)="",10^12,OFFSET(CRONOPLE!$F$14,$M78,AU$13))))</f>
        <v>1000000000000</v>
      </c>
      <c r="AV78" s="181">
        <f ca="1">IF($D78&lt;&gt;"Serviço",0,IF(AND(AUTOEVENTO="Manual",$M78=1),0,IF(OFFSET(CRONOPLE!$F$14,$M78,AV$13)="",10^12,OFFSET(CRONOPLE!$F$14,$M78,AV$13))))</f>
        <v>1000000000000</v>
      </c>
      <c r="AX78" s="182">
        <f ca="1">IF($D78&lt;&gt;"Serviço",0,IF(OR(AND(AUTOEVENTO="Manual",$M78=1),$M78&gt;(ROW(PLE.lastrow)-ROW(PLE.firstrow))),0,IF(OFFSET(PLE!$G$14,$M78,AX$13)="",10^12,OFFSET(PLE!$G$14,$M78,AX$13))))</f>
        <v>1000000000000</v>
      </c>
      <c r="AY78" s="182">
        <f ca="1">IF($D78&lt;&gt;"Serviço",0,IF(OR(AND(AUTOEVENTO="Manual",$M78=1),$M78&gt;(ROW(PLE.lastrow)-ROW(PLE.firstrow))),0,IF(OFFSET(PLE!$G$14,$M78,AY$13)="",10^12,OFFSET(PLE!$G$14,$M78,AY$13))))</f>
        <v>1000000000000</v>
      </c>
      <c r="AZ78" s="182">
        <f ca="1">IF($D78&lt;&gt;"Serviço",0,IF(OR(AND(AUTOEVENTO="Manual",$M78=1),$M78&gt;(ROW(PLE.lastrow)-ROW(PLE.firstrow))),0,IF(OFFSET(PLE!$G$14,$M78,AZ$13)="",10^12,OFFSET(PLE!$G$14,$M78,AZ$13))))</f>
        <v>1000000000000</v>
      </c>
      <c r="BA78" s="182">
        <f ca="1">IF($D78&lt;&gt;"Serviço",0,IF(OR(AND(AUTOEVENTO="Manual",$M78=1),$M78&gt;(ROW(PLE.lastrow)-ROW(PLE.firstrow))),0,IF(OFFSET(PLE!$G$14,$M78,BA$13)="",10^12,OFFSET(PLE!$G$14,$M78,BA$13))))</f>
        <v>1000000000000</v>
      </c>
      <c r="BB78" s="182">
        <f ca="1">IF($D78&lt;&gt;"Serviço",0,IF(OR(AND(AUTOEVENTO="Manual",$M78=1),$M78&gt;(ROW(PLE.lastrow)-ROW(PLE.firstrow))),0,IF(OFFSET(PLE!$G$14,$M78,BB$13)="",10^12,OFFSET(PLE!$G$14,$M78,BB$13))))</f>
        <v>1000000000000</v>
      </c>
      <c r="BC78" s="182">
        <f ca="1">IF($D78&lt;&gt;"Serviço",0,IF(OR(AND(AUTOEVENTO="Manual",$M78=1),$M78&gt;(ROW(PLE.lastrow)-ROW(PLE.firstrow))),0,IF(OFFSET(PLE!$G$14,$M78,BC$13)="",10^12,OFFSET(PLE!$G$14,$M78,BC$13))))</f>
        <v>1000000000000</v>
      </c>
      <c r="BD78" s="182">
        <f ca="1">IF($D78&lt;&gt;"Serviço",0,IF(OR(AND(AUTOEVENTO="Manual",$M78=1),$M78&gt;(ROW(PLE.lastrow)-ROW(PLE.firstrow))),0,IF(OFFSET(PLE!$G$14,$M78,BD$13)="",10^12,OFFSET(PLE!$G$14,$M78,BD$13))))</f>
        <v>1000000000000</v>
      </c>
      <c r="BE78" s="182">
        <f ca="1">IF($D78&lt;&gt;"Serviço",0,IF(OR(AND(AUTOEVENTO="Manual",$M78=1),$M78&gt;(ROW(PLE.lastrow)-ROW(PLE.firstrow))),0,IF(OFFSET(PLE!$G$14,$M78,BE$13)="",10^12,OFFSET(PLE!$G$14,$M78,BE$13))))</f>
        <v>1000000000000</v>
      </c>
      <c r="BF78" s="182">
        <f ca="1">IF($D78&lt;&gt;"Serviço",0,IF(OR(AND(AUTOEVENTO="Manual",$M78=1),$M78&gt;(ROW(PLE.lastrow)-ROW(PLE.firstrow))),0,IF(OFFSET(PLE!$G$14,$M78,BF$13)="",10^12,OFFSET(PLE!$G$14,$M78,BF$13))))</f>
        <v>1000000000000</v>
      </c>
      <c r="BG78" s="182">
        <f ca="1">IF($D78&lt;&gt;"Serviço",0,IF(OR(AND(AUTOEVENTO="Manual",$M78=1),$M78&gt;(ROW(PLE.lastrow)-ROW(PLE.firstrow))),0,IF(OFFSET(PLE!$G$14,$M78,BG$13)="",10^12,OFFSET(PLE!$G$14,$M78,BG$13))))</f>
        <v>1000000000000</v>
      </c>
    </row>
    <row r="79" spans="1:59" s="577" customFormat="1" ht="25.5" x14ac:dyDescent="0.2">
      <c r="A79" s="7" t="str">
        <f t="shared" ca="1" si="8"/>
        <v>58</v>
      </c>
      <c r="B79" s="7" t="str">
        <f ca="1">OFFSET(ORÇAMENTO!C$15,ROW(B79)-ROW(B$15),0)</f>
        <v>S</v>
      </c>
      <c r="C79" s="7" t="str">
        <f ca="1">OFFSET(ORÇAMENTO!L$15,ROW(C79)-ROW(C$15),0)</f>
        <v>F</v>
      </c>
      <c r="D79" s="118" t="str">
        <f ca="1">OFFSET(ORÇAMENTO!N$15,ROW(D79)-ROW(D$15),0)</f>
        <v>Serviço</v>
      </c>
      <c r="E79" s="119" t="str">
        <f ca="1">OFFSET(ORÇAMENTO!O$15,ROW(E79)-ROW(E$15),0)</f>
        <v>2.4.6.</v>
      </c>
      <c r="F79" s="172" t="str">
        <f ca="1">OFFSET(ORÇAMENTO!R$15,ROW(F79)-ROW(F$15),0)</f>
        <v xml:space="preserve">CIMENTO ASFÁLTICO CAP 50/70 (Base de preço: ANP CAP 50/70 + ICMS (17%) + PIS (0,65%) + COFINS (3%) </v>
      </c>
      <c r="G79" s="173" t="str">
        <f ca="1">IF($D79&lt;&gt;"Serviço","",OFFSET(ORÇAMENTO!S$15,ROW(G79)-ROW(G$15),0))</f>
        <v>TON</v>
      </c>
      <c r="H79" s="124">
        <f ca="1">IF($D79&lt;&gt;"Serviço",0,IF(ACOMPANHAMENTO="BM",ROUND(OFFSET(ORÇAMENTO!AJ$15,ROW(H79)-ROW(H$15),0),15-13*ORÇAMENTO!$AF$7),SUMPRODUCT(($Q$12:$AA$12&lt;&gt;"")*ROUND($Q79:$AA79,15-13*ORÇAMENTO!$AF$7))))</f>
        <v>29.32</v>
      </c>
      <c r="I79" s="561"/>
      <c r="K79" s="174"/>
      <c r="L79" s="175" t="s">
        <v>255</v>
      </c>
      <c r="M79" s="176">
        <f ca="1">IF($D79&lt;&gt;"Serviço","",IF(AUTOEVENTO="manual",$A79,IF(ISERROR(MATCH($A79,$A$15:OFFSET($A79,-1,0),0)),MAX($M$15:OFFSET(M79,-1,0))+1,INDEX($M$15:OFFSET(M79,-1,0),MATCH($A79,$A$15:OFFSET($A79,-1,0),0)))))</f>
        <v>10</v>
      </c>
      <c r="N79" s="177" t="str">
        <f ca="1">IF($D79&lt;&gt;"Serviço","",IF(AUTOEVENTO="Manual",IF($A79=0,"&lt;-- defina o número do agrupador",OFFSET(EVENTOS!$D$14,$A79,0)),OFFSET($F$15,$A79,0)))</f>
        <v>PAVIMENTAÇÃO</v>
      </c>
      <c r="O79" s="178"/>
      <c r="Q79" s="178"/>
      <c r="R79" s="179"/>
      <c r="S79" s="179"/>
      <c r="T79" s="179"/>
      <c r="U79" s="179"/>
      <c r="V79" s="179"/>
      <c r="W79" s="179"/>
      <c r="X79" s="179"/>
      <c r="Y79" s="179"/>
      <c r="Z79" s="180"/>
      <c r="AB79" s="544">
        <f ca="1">IF(AND($D79="Serviço",AB$12&lt;&gt;0,$H79&gt;0,OR(AUTOEVENTO&lt;&gt;"manual",$M79&lt;&gt;1)), IF(Import.TipoArredondamento&lt;&gt;"TransfereGOV", ROUND(OFFSET($P79,0,AB$13),15-13*ORÇAMENTO!$AF$7)/$H79*OFFSET(ORÇAMENTO!$X$15,ROW(AB79)-ROW(AB$15),0), ROUND(ROUND(OFFSET($P79,0,AB$13),15-13*ORÇAMENTO!$AF$7)*OFFSET(ORÇAMENTO!$W$15,ROW(AB79)-ROW(AB$15),0),15-13*ORÇAMENTO!$AF$11)),0)</f>
        <v>0</v>
      </c>
      <c r="AC79" s="545">
        <f ca="1">IF(AND($D79="Serviço",AC$12&lt;&gt;0,$H79&gt;0,OR(AUTOEVENTO&lt;&gt;"manual",$M79&lt;&gt;1)), IF(Import.TipoArredondamento&lt;&gt;"TransfereGOV", ROUND(OFFSET($P79,0,AC$13),15-13*ORÇAMENTO!$AF$7)/$H79*OFFSET(ORÇAMENTO!$X$15,ROW(AC79)-ROW(AC$15),0), ROUND(ROUND(OFFSET($P79,0,AC$13),15-13*ORÇAMENTO!$AF$7)*OFFSET(ORÇAMENTO!$W$15,ROW(AC79)-ROW(AC$15),0),15-13*ORÇAMENTO!$AF$11)),0)</f>
        <v>0</v>
      </c>
      <c r="AD79" s="545">
        <f ca="1">IF(AND($D79="Serviço",AD$12&lt;&gt;0,$H79&gt;0,OR(AUTOEVENTO&lt;&gt;"manual",$M79&lt;&gt;1)), IF(Import.TipoArredondamento&lt;&gt;"TransfereGOV", ROUND(OFFSET($P79,0,AD$13),15-13*ORÇAMENTO!$AF$7)/$H79*OFFSET(ORÇAMENTO!$X$15,ROW(AD79)-ROW(AD$15),0), ROUND(ROUND(OFFSET($P79,0,AD$13),15-13*ORÇAMENTO!$AF$7)*OFFSET(ORÇAMENTO!$W$15,ROW(AD79)-ROW(AD$15),0),15-13*ORÇAMENTO!$AF$11)),0)</f>
        <v>0</v>
      </c>
      <c r="AE79" s="545">
        <f ca="1">IF(AND($D79="Serviço",AE$12&lt;&gt;0,$H79&gt;0,OR(AUTOEVENTO&lt;&gt;"manual",$M79&lt;&gt;1)), IF(Import.TipoArredondamento&lt;&gt;"TransfereGOV", ROUND(OFFSET($P79,0,AE$13),15-13*ORÇAMENTO!$AF$7)/$H79*OFFSET(ORÇAMENTO!$X$15,ROW(AE79)-ROW(AE$15),0), ROUND(ROUND(OFFSET($P79,0,AE$13),15-13*ORÇAMENTO!$AF$7)*OFFSET(ORÇAMENTO!$W$15,ROW(AE79)-ROW(AE$15),0),15-13*ORÇAMENTO!$AF$11)),0)</f>
        <v>0</v>
      </c>
      <c r="AF79" s="545">
        <f ca="1">IF(AND($D79="Serviço",AF$12&lt;&gt;0,$H79&gt;0,OR(AUTOEVENTO&lt;&gt;"manual",$M79&lt;&gt;1)), IF(Import.TipoArredondamento&lt;&gt;"TransfereGOV", ROUND(OFFSET($P79,0,AF$13),15-13*ORÇAMENTO!$AF$7)/$H79*OFFSET(ORÇAMENTO!$X$15,ROW(AF79)-ROW(AF$15),0), ROUND(ROUND(OFFSET($P79,0,AF$13),15-13*ORÇAMENTO!$AF$7)*OFFSET(ORÇAMENTO!$W$15,ROW(AF79)-ROW(AF$15),0),15-13*ORÇAMENTO!$AF$11)),0)</f>
        <v>0</v>
      </c>
      <c r="AG79" s="545">
        <f ca="1">IF(AND($D79="Serviço",AG$12&lt;&gt;0,$H79&gt;0,OR(AUTOEVENTO&lt;&gt;"manual",$M79&lt;&gt;1)), IF(Import.TipoArredondamento&lt;&gt;"TransfereGOV", ROUND(OFFSET($P79,0,AG$13),15-13*ORÇAMENTO!$AF$7)/$H79*OFFSET(ORÇAMENTO!$X$15,ROW(AG79)-ROW(AG$15),0), ROUND(ROUND(OFFSET($P79,0,AG$13),15-13*ORÇAMENTO!$AF$7)*OFFSET(ORÇAMENTO!$W$15,ROW(AG79)-ROW(AG$15),0),15-13*ORÇAMENTO!$AF$11)),0)</f>
        <v>0</v>
      </c>
      <c r="AH79" s="545">
        <f ca="1">IF(AND($D79="Serviço",AH$12&lt;&gt;0,$H79&gt;0,OR(AUTOEVENTO&lt;&gt;"manual",$M79&lt;&gt;1)), IF(Import.TipoArredondamento&lt;&gt;"TransfereGOV", ROUND(OFFSET($P79,0,AH$13),15-13*ORÇAMENTO!$AF$7)/$H79*OFFSET(ORÇAMENTO!$X$15,ROW(AH79)-ROW(AH$15),0), ROUND(ROUND(OFFSET($P79,0,AH$13),15-13*ORÇAMENTO!$AF$7)*OFFSET(ORÇAMENTO!$W$15,ROW(AH79)-ROW(AH$15),0),15-13*ORÇAMENTO!$AF$11)),0)</f>
        <v>0</v>
      </c>
      <c r="AI79" s="545">
        <f ca="1">IF(AND($D79="Serviço",AI$12&lt;&gt;0,$H79&gt;0,OR(AUTOEVENTO&lt;&gt;"manual",$M79&lt;&gt;1)), IF(Import.TipoArredondamento&lt;&gt;"TransfereGOV", ROUND(OFFSET($P79,0,AI$13),15-13*ORÇAMENTO!$AF$7)/$H79*OFFSET(ORÇAMENTO!$X$15,ROW(AI79)-ROW(AI$15),0), ROUND(ROUND(OFFSET($P79,0,AI$13),15-13*ORÇAMENTO!$AF$7)*OFFSET(ORÇAMENTO!$W$15,ROW(AI79)-ROW(AI$15),0),15-13*ORÇAMENTO!$AF$11)),0)</f>
        <v>0</v>
      </c>
      <c r="AJ79" s="545">
        <f ca="1">IF(AND($D79="Serviço",AJ$12&lt;&gt;0,$H79&gt;0,OR(AUTOEVENTO&lt;&gt;"manual",$M79&lt;&gt;1)), IF(Import.TipoArredondamento&lt;&gt;"TransfereGOV", ROUND(OFFSET($P79,0,AJ$13),15-13*ORÇAMENTO!$AF$7)/$H79*OFFSET(ORÇAMENTO!$X$15,ROW(AJ79)-ROW(AJ$15),0), ROUND(ROUND(OFFSET($P79,0,AJ$13),15-13*ORÇAMENTO!$AF$7)*OFFSET(ORÇAMENTO!$W$15,ROW(AJ79)-ROW(AJ$15),0),15-13*ORÇAMENTO!$AF$11)),0)</f>
        <v>0</v>
      </c>
      <c r="AK79" s="546">
        <f ca="1">IF(AND($D79="Serviço",AK$12&lt;&gt;0,$H79&gt;0,OR(AUTOEVENTO&lt;&gt;"manual",$M79&lt;&gt;1)), IF(Import.TipoArredondamento&lt;&gt;"TransfereGOV", ROUND(OFFSET($P79,0,AK$13),15-13*ORÇAMENTO!$AF$7)/$H79*OFFSET(ORÇAMENTO!$X$15,ROW(AK79)-ROW(AK$15),0), ROUND(ROUND(OFFSET($P79,0,AK$13),15-13*ORÇAMENTO!$AF$7)*OFFSET(ORÇAMENTO!$W$15,ROW(AK79)-ROW(AK$15),0),15-13*ORÇAMENTO!$AF$11)),0)</f>
        <v>0</v>
      </c>
      <c r="AM79" s="181">
        <f ca="1">IF($D79&lt;&gt;"Serviço",0,IF(AND(AUTOEVENTO="Manual",$M79=1),0,IF(OFFSET(CRONOPLE!$F$14,$M79,AM$13)="",10^12,OFFSET(CRONOPLE!$F$14,$M79,AM$13))))</f>
        <v>1000000000000</v>
      </c>
      <c r="AN79" s="181">
        <f ca="1">IF($D79&lt;&gt;"Serviço",0,IF(AND(AUTOEVENTO="Manual",$M79=1),0,IF(OFFSET(CRONOPLE!$F$14,$M79,AN$13)="",10^12,OFFSET(CRONOPLE!$F$14,$M79,AN$13))))</f>
        <v>1000000000000</v>
      </c>
      <c r="AO79" s="181">
        <f ca="1">IF($D79&lt;&gt;"Serviço",0,IF(AND(AUTOEVENTO="Manual",$M79=1),0,IF(OFFSET(CRONOPLE!$F$14,$M79,AO$13)="",10^12,OFFSET(CRONOPLE!$F$14,$M79,AO$13))))</f>
        <v>1000000000000</v>
      </c>
      <c r="AP79" s="181">
        <f ca="1">IF($D79&lt;&gt;"Serviço",0,IF(AND(AUTOEVENTO="Manual",$M79=1),0,IF(OFFSET(CRONOPLE!$F$14,$M79,AP$13)="",10^12,OFFSET(CRONOPLE!$F$14,$M79,AP$13))))</f>
        <v>1000000000000</v>
      </c>
      <c r="AQ79" s="181">
        <f ca="1">IF($D79&lt;&gt;"Serviço",0,IF(AND(AUTOEVENTO="Manual",$M79=1),0,IF(OFFSET(CRONOPLE!$F$14,$M79,AQ$13)="",10^12,OFFSET(CRONOPLE!$F$14,$M79,AQ$13))))</f>
        <v>1000000000000</v>
      </c>
      <c r="AR79" s="181">
        <f ca="1">IF($D79&lt;&gt;"Serviço",0,IF(AND(AUTOEVENTO="Manual",$M79=1),0,IF(OFFSET(CRONOPLE!$F$14,$M79,AR$13)="",10^12,OFFSET(CRONOPLE!$F$14,$M79,AR$13))))</f>
        <v>1000000000000</v>
      </c>
      <c r="AS79" s="181">
        <f ca="1">IF($D79&lt;&gt;"Serviço",0,IF(AND(AUTOEVENTO="Manual",$M79=1),0,IF(OFFSET(CRONOPLE!$F$14,$M79,AS$13)="",10^12,OFFSET(CRONOPLE!$F$14,$M79,AS$13))))</f>
        <v>1000000000000</v>
      </c>
      <c r="AT79" s="181">
        <f ca="1">IF($D79&lt;&gt;"Serviço",0,IF(AND(AUTOEVENTO="Manual",$M79=1),0,IF(OFFSET(CRONOPLE!$F$14,$M79,AT$13)="",10^12,OFFSET(CRONOPLE!$F$14,$M79,AT$13))))</f>
        <v>1000000000000</v>
      </c>
      <c r="AU79" s="181">
        <f ca="1">IF($D79&lt;&gt;"Serviço",0,IF(AND(AUTOEVENTO="Manual",$M79=1),0,IF(OFFSET(CRONOPLE!$F$14,$M79,AU$13)="",10^12,OFFSET(CRONOPLE!$F$14,$M79,AU$13))))</f>
        <v>1000000000000</v>
      </c>
      <c r="AV79" s="181">
        <f ca="1">IF($D79&lt;&gt;"Serviço",0,IF(AND(AUTOEVENTO="Manual",$M79=1),0,IF(OFFSET(CRONOPLE!$F$14,$M79,AV$13)="",10^12,OFFSET(CRONOPLE!$F$14,$M79,AV$13))))</f>
        <v>1000000000000</v>
      </c>
      <c r="AX79" s="182">
        <f ca="1">IF($D79&lt;&gt;"Serviço",0,IF(OR(AND(AUTOEVENTO="Manual",$M79=1),$M79&gt;(ROW(PLE.lastrow)-ROW(PLE.firstrow))),0,IF(OFFSET(PLE!$G$14,$M79,AX$13)="",10^12,OFFSET(PLE!$G$14,$M79,AX$13))))</f>
        <v>1000000000000</v>
      </c>
      <c r="AY79" s="182">
        <f ca="1">IF($D79&lt;&gt;"Serviço",0,IF(OR(AND(AUTOEVENTO="Manual",$M79=1),$M79&gt;(ROW(PLE.lastrow)-ROW(PLE.firstrow))),0,IF(OFFSET(PLE!$G$14,$M79,AY$13)="",10^12,OFFSET(PLE!$G$14,$M79,AY$13))))</f>
        <v>1000000000000</v>
      </c>
      <c r="AZ79" s="182">
        <f ca="1">IF($D79&lt;&gt;"Serviço",0,IF(OR(AND(AUTOEVENTO="Manual",$M79=1),$M79&gt;(ROW(PLE.lastrow)-ROW(PLE.firstrow))),0,IF(OFFSET(PLE!$G$14,$M79,AZ$13)="",10^12,OFFSET(PLE!$G$14,$M79,AZ$13))))</f>
        <v>1000000000000</v>
      </c>
      <c r="BA79" s="182">
        <f ca="1">IF($D79&lt;&gt;"Serviço",0,IF(OR(AND(AUTOEVENTO="Manual",$M79=1),$M79&gt;(ROW(PLE.lastrow)-ROW(PLE.firstrow))),0,IF(OFFSET(PLE!$G$14,$M79,BA$13)="",10^12,OFFSET(PLE!$G$14,$M79,BA$13))))</f>
        <v>1000000000000</v>
      </c>
      <c r="BB79" s="182">
        <f ca="1">IF($D79&lt;&gt;"Serviço",0,IF(OR(AND(AUTOEVENTO="Manual",$M79=1),$M79&gt;(ROW(PLE.lastrow)-ROW(PLE.firstrow))),0,IF(OFFSET(PLE!$G$14,$M79,BB$13)="",10^12,OFFSET(PLE!$G$14,$M79,BB$13))))</f>
        <v>1000000000000</v>
      </c>
      <c r="BC79" s="182">
        <f ca="1">IF($D79&lt;&gt;"Serviço",0,IF(OR(AND(AUTOEVENTO="Manual",$M79=1),$M79&gt;(ROW(PLE.lastrow)-ROW(PLE.firstrow))),0,IF(OFFSET(PLE!$G$14,$M79,BC$13)="",10^12,OFFSET(PLE!$G$14,$M79,BC$13))))</f>
        <v>1000000000000</v>
      </c>
      <c r="BD79" s="182">
        <f ca="1">IF($D79&lt;&gt;"Serviço",0,IF(OR(AND(AUTOEVENTO="Manual",$M79=1),$M79&gt;(ROW(PLE.lastrow)-ROW(PLE.firstrow))),0,IF(OFFSET(PLE!$G$14,$M79,BD$13)="",10^12,OFFSET(PLE!$G$14,$M79,BD$13))))</f>
        <v>1000000000000</v>
      </c>
      <c r="BE79" s="182">
        <f ca="1">IF($D79&lt;&gt;"Serviço",0,IF(OR(AND(AUTOEVENTO="Manual",$M79=1),$M79&gt;(ROW(PLE.lastrow)-ROW(PLE.firstrow))),0,IF(OFFSET(PLE!$G$14,$M79,BE$13)="",10^12,OFFSET(PLE!$G$14,$M79,BE$13))))</f>
        <v>1000000000000</v>
      </c>
      <c r="BF79" s="182">
        <f ca="1">IF($D79&lt;&gt;"Serviço",0,IF(OR(AND(AUTOEVENTO="Manual",$M79=1),$M79&gt;(ROW(PLE.lastrow)-ROW(PLE.firstrow))),0,IF(OFFSET(PLE!$G$14,$M79,BF$13)="",10^12,OFFSET(PLE!$G$14,$M79,BF$13))))</f>
        <v>1000000000000</v>
      </c>
      <c r="BG79" s="182">
        <f ca="1">IF($D79&lt;&gt;"Serviço",0,IF(OR(AND(AUTOEVENTO="Manual",$M79=1),$M79&gt;(ROW(PLE.lastrow)-ROW(PLE.firstrow))),0,IF(OFFSET(PLE!$G$14,$M79,BG$13)="",10^12,OFFSET(PLE!$G$14,$M79,BG$13))))</f>
        <v>1000000000000</v>
      </c>
    </row>
    <row r="80" spans="1:59" s="577" customFormat="1" ht="25.5" x14ac:dyDescent="0.2">
      <c r="A80" s="7" t="str">
        <f t="shared" ca="1" si="8"/>
        <v>58</v>
      </c>
      <c r="B80" s="7" t="str">
        <f ca="1">OFFSET(ORÇAMENTO!C$15,ROW(B80)-ROW(B$15),0)</f>
        <v>S</v>
      </c>
      <c r="C80" s="7" t="str">
        <f ca="1">OFFSET(ORÇAMENTO!L$15,ROW(C80)-ROW(C$15),0)</f>
        <v>F</v>
      </c>
      <c r="D80" s="118" t="str">
        <f ca="1">OFFSET(ORÇAMENTO!N$15,ROW(D80)-ROW(D$15),0)</f>
        <v>Serviço</v>
      </c>
      <c r="E80" s="119" t="str">
        <f ca="1">OFFSET(ORÇAMENTO!O$15,ROW(E80)-ROW(E$15),0)</f>
        <v>2.4.7.</v>
      </c>
      <c r="F80" s="172" t="str">
        <f ca="1">OFFSET(ORÇAMENTO!R$15,ROW(F80)-ROW(F$15),0)</f>
        <v xml:space="preserve">EMULSÃO ASFÁLTICA RR-2C ( Base de preço: ANP EMULSÃO RR-2C + ICMS (17%) + PIS (0,65%) + COFINS (3%) </v>
      </c>
      <c r="G80" s="173" t="str">
        <f ca="1">IF($D80&lt;&gt;"Serviço","",OFFSET(ORÇAMENTO!S$15,ROW(G80)-ROW(G$15),0))</f>
        <v>LITRO</v>
      </c>
      <c r="H80" s="124">
        <f ca="1">IF($D80&lt;&gt;"Serviço",0,IF(ACOMPANHAMENTO="BM",ROUND(OFFSET(ORÇAMENTO!AJ$15,ROW(H80)-ROW(H$15),0),15-13*ORÇAMENTO!$AF$7),SUMPRODUCT(($Q$12:$AA$12&lt;&gt;"")*ROUND($Q80:$AA80,15-13*ORÇAMENTO!$AF$7))))</f>
        <v>1555.14</v>
      </c>
      <c r="I80" s="561"/>
      <c r="K80" s="174"/>
      <c r="L80" s="175" t="s">
        <v>255</v>
      </c>
      <c r="M80" s="176">
        <f ca="1">IF($D80&lt;&gt;"Serviço","",IF(AUTOEVENTO="manual",$A80,IF(ISERROR(MATCH($A80,$A$15:OFFSET($A80,-1,0),0)),MAX($M$15:OFFSET(M80,-1,0))+1,INDEX($M$15:OFFSET(M80,-1,0),MATCH($A80,$A$15:OFFSET($A80,-1,0),0)))))</f>
        <v>10</v>
      </c>
      <c r="N80" s="177" t="str">
        <f ca="1">IF($D80&lt;&gt;"Serviço","",IF(AUTOEVENTO="Manual",IF($A80=0,"&lt;-- defina o número do agrupador",OFFSET(EVENTOS!$D$14,$A80,0)),OFFSET($F$15,$A80,0)))</f>
        <v>PAVIMENTAÇÃO</v>
      </c>
      <c r="O80" s="178"/>
      <c r="Q80" s="178"/>
      <c r="R80" s="179"/>
      <c r="S80" s="179"/>
      <c r="T80" s="179"/>
      <c r="U80" s="179"/>
      <c r="V80" s="179"/>
      <c r="W80" s="179"/>
      <c r="X80" s="179"/>
      <c r="Y80" s="179"/>
      <c r="Z80" s="180"/>
      <c r="AB80" s="544">
        <f ca="1">IF(AND($D80="Serviço",AB$12&lt;&gt;0,$H80&gt;0,OR(AUTOEVENTO&lt;&gt;"manual",$M80&lt;&gt;1)), IF(Import.TipoArredondamento&lt;&gt;"TransfereGOV", ROUND(OFFSET($P80,0,AB$13),15-13*ORÇAMENTO!$AF$7)/$H80*OFFSET(ORÇAMENTO!$X$15,ROW(AB80)-ROW(AB$15),0), ROUND(ROUND(OFFSET($P80,0,AB$13),15-13*ORÇAMENTO!$AF$7)*OFFSET(ORÇAMENTO!$W$15,ROW(AB80)-ROW(AB$15),0),15-13*ORÇAMENTO!$AF$11)),0)</f>
        <v>0</v>
      </c>
      <c r="AC80" s="545">
        <f ca="1">IF(AND($D80="Serviço",AC$12&lt;&gt;0,$H80&gt;0,OR(AUTOEVENTO&lt;&gt;"manual",$M80&lt;&gt;1)), IF(Import.TipoArredondamento&lt;&gt;"TransfereGOV", ROUND(OFFSET($P80,0,AC$13),15-13*ORÇAMENTO!$AF$7)/$H80*OFFSET(ORÇAMENTO!$X$15,ROW(AC80)-ROW(AC$15),0), ROUND(ROUND(OFFSET($P80,0,AC$13),15-13*ORÇAMENTO!$AF$7)*OFFSET(ORÇAMENTO!$W$15,ROW(AC80)-ROW(AC$15),0),15-13*ORÇAMENTO!$AF$11)),0)</f>
        <v>0</v>
      </c>
      <c r="AD80" s="545">
        <f ca="1">IF(AND($D80="Serviço",AD$12&lt;&gt;0,$H80&gt;0,OR(AUTOEVENTO&lt;&gt;"manual",$M80&lt;&gt;1)), IF(Import.TipoArredondamento&lt;&gt;"TransfereGOV", ROUND(OFFSET($P80,0,AD$13),15-13*ORÇAMENTO!$AF$7)/$H80*OFFSET(ORÇAMENTO!$X$15,ROW(AD80)-ROW(AD$15),0), ROUND(ROUND(OFFSET($P80,0,AD$13),15-13*ORÇAMENTO!$AF$7)*OFFSET(ORÇAMENTO!$W$15,ROW(AD80)-ROW(AD$15),0),15-13*ORÇAMENTO!$AF$11)),0)</f>
        <v>0</v>
      </c>
      <c r="AE80" s="545">
        <f ca="1">IF(AND($D80="Serviço",AE$12&lt;&gt;0,$H80&gt;0,OR(AUTOEVENTO&lt;&gt;"manual",$M80&lt;&gt;1)), IF(Import.TipoArredondamento&lt;&gt;"TransfereGOV", ROUND(OFFSET($P80,0,AE$13),15-13*ORÇAMENTO!$AF$7)/$H80*OFFSET(ORÇAMENTO!$X$15,ROW(AE80)-ROW(AE$15),0), ROUND(ROUND(OFFSET($P80,0,AE$13),15-13*ORÇAMENTO!$AF$7)*OFFSET(ORÇAMENTO!$W$15,ROW(AE80)-ROW(AE$15),0),15-13*ORÇAMENTO!$AF$11)),0)</f>
        <v>0</v>
      </c>
      <c r="AF80" s="545">
        <f ca="1">IF(AND($D80="Serviço",AF$12&lt;&gt;0,$H80&gt;0,OR(AUTOEVENTO&lt;&gt;"manual",$M80&lt;&gt;1)), IF(Import.TipoArredondamento&lt;&gt;"TransfereGOV", ROUND(OFFSET($P80,0,AF$13),15-13*ORÇAMENTO!$AF$7)/$H80*OFFSET(ORÇAMENTO!$X$15,ROW(AF80)-ROW(AF$15),0), ROUND(ROUND(OFFSET($P80,0,AF$13),15-13*ORÇAMENTO!$AF$7)*OFFSET(ORÇAMENTO!$W$15,ROW(AF80)-ROW(AF$15),0),15-13*ORÇAMENTO!$AF$11)),0)</f>
        <v>0</v>
      </c>
      <c r="AG80" s="545">
        <f ca="1">IF(AND($D80="Serviço",AG$12&lt;&gt;0,$H80&gt;0,OR(AUTOEVENTO&lt;&gt;"manual",$M80&lt;&gt;1)), IF(Import.TipoArredondamento&lt;&gt;"TransfereGOV", ROUND(OFFSET($P80,0,AG$13),15-13*ORÇAMENTO!$AF$7)/$H80*OFFSET(ORÇAMENTO!$X$15,ROW(AG80)-ROW(AG$15),0), ROUND(ROUND(OFFSET($P80,0,AG$13),15-13*ORÇAMENTO!$AF$7)*OFFSET(ORÇAMENTO!$W$15,ROW(AG80)-ROW(AG$15),0),15-13*ORÇAMENTO!$AF$11)),0)</f>
        <v>0</v>
      </c>
      <c r="AH80" s="545">
        <f ca="1">IF(AND($D80="Serviço",AH$12&lt;&gt;0,$H80&gt;0,OR(AUTOEVENTO&lt;&gt;"manual",$M80&lt;&gt;1)), IF(Import.TipoArredondamento&lt;&gt;"TransfereGOV", ROUND(OFFSET($P80,0,AH$13),15-13*ORÇAMENTO!$AF$7)/$H80*OFFSET(ORÇAMENTO!$X$15,ROW(AH80)-ROW(AH$15),0), ROUND(ROUND(OFFSET($P80,0,AH$13),15-13*ORÇAMENTO!$AF$7)*OFFSET(ORÇAMENTO!$W$15,ROW(AH80)-ROW(AH$15),0),15-13*ORÇAMENTO!$AF$11)),0)</f>
        <v>0</v>
      </c>
      <c r="AI80" s="545">
        <f ca="1">IF(AND($D80="Serviço",AI$12&lt;&gt;0,$H80&gt;0,OR(AUTOEVENTO&lt;&gt;"manual",$M80&lt;&gt;1)), IF(Import.TipoArredondamento&lt;&gt;"TransfereGOV", ROUND(OFFSET($P80,0,AI$13),15-13*ORÇAMENTO!$AF$7)/$H80*OFFSET(ORÇAMENTO!$X$15,ROW(AI80)-ROW(AI$15),0), ROUND(ROUND(OFFSET($P80,0,AI$13),15-13*ORÇAMENTO!$AF$7)*OFFSET(ORÇAMENTO!$W$15,ROW(AI80)-ROW(AI$15),0),15-13*ORÇAMENTO!$AF$11)),0)</f>
        <v>0</v>
      </c>
      <c r="AJ80" s="545">
        <f ca="1">IF(AND($D80="Serviço",AJ$12&lt;&gt;0,$H80&gt;0,OR(AUTOEVENTO&lt;&gt;"manual",$M80&lt;&gt;1)), IF(Import.TipoArredondamento&lt;&gt;"TransfereGOV", ROUND(OFFSET($P80,0,AJ$13),15-13*ORÇAMENTO!$AF$7)/$H80*OFFSET(ORÇAMENTO!$X$15,ROW(AJ80)-ROW(AJ$15),0), ROUND(ROUND(OFFSET($P80,0,AJ$13),15-13*ORÇAMENTO!$AF$7)*OFFSET(ORÇAMENTO!$W$15,ROW(AJ80)-ROW(AJ$15),0),15-13*ORÇAMENTO!$AF$11)),0)</f>
        <v>0</v>
      </c>
      <c r="AK80" s="546">
        <f ca="1">IF(AND($D80="Serviço",AK$12&lt;&gt;0,$H80&gt;0,OR(AUTOEVENTO&lt;&gt;"manual",$M80&lt;&gt;1)), IF(Import.TipoArredondamento&lt;&gt;"TransfereGOV", ROUND(OFFSET($P80,0,AK$13),15-13*ORÇAMENTO!$AF$7)/$H80*OFFSET(ORÇAMENTO!$X$15,ROW(AK80)-ROW(AK$15),0), ROUND(ROUND(OFFSET($P80,0,AK$13),15-13*ORÇAMENTO!$AF$7)*OFFSET(ORÇAMENTO!$W$15,ROW(AK80)-ROW(AK$15),0),15-13*ORÇAMENTO!$AF$11)),0)</f>
        <v>0</v>
      </c>
      <c r="AM80" s="181">
        <f ca="1">IF($D80&lt;&gt;"Serviço",0,IF(AND(AUTOEVENTO="Manual",$M80=1),0,IF(OFFSET(CRONOPLE!$F$14,$M80,AM$13)="",10^12,OFFSET(CRONOPLE!$F$14,$M80,AM$13))))</f>
        <v>1000000000000</v>
      </c>
      <c r="AN80" s="181">
        <f ca="1">IF($D80&lt;&gt;"Serviço",0,IF(AND(AUTOEVENTO="Manual",$M80=1),0,IF(OFFSET(CRONOPLE!$F$14,$M80,AN$13)="",10^12,OFFSET(CRONOPLE!$F$14,$M80,AN$13))))</f>
        <v>1000000000000</v>
      </c>
      <c r="AO80" s="181">
        <f ca="1">IF($D80&lt;&gt;"Serviço",0,IF(AND(AUTOEVENTO="Manual",$M80=1),0,IF(OFFSET(CRONOPLE!$F$14,$M80,AO$13)="",10^12,OFFSET(CRONOPLE!$F$14,$M80,AO$13))))</f>
        <v>1000000000000</v>
      </c>
      <c r="AP80" s="181">
        <f ca="1">IF($D80&lt;&gt;"Serviço",0,IF(AND(AUTOEVENTO="Manual",$M80=1),0,IF(OFFSET(CRONOPLE!$F$14,$M80,AP$13)="",10^12,OFFSET(CRONOPLE!$F$14,$M80,AP$13))))</f>
        <v>1000000000000</v>
      </c>
      <c r="AQ80" s="181">
        <f ca="1">IF($D80&lt;&gt;"Serviço",0,IF(AND(AUTOEVENTO="Manual",$M80=1),0,IF(OFFSET(CRONOPLE!$F$14,$M80,AQ$13)="",10^12,OFFSET(CRONOPLE!$F$14,$M80,AQ$13))))</f>
        <v>1000000000000</v>
      </c>
      <c r="AR80" s="181">
        <f ca="1">IF($D80&lt;&gt;"Serviço",0,IF(AND(AUTOEVENTO="Manual",$M80=1),0,IF(OFFSET(CRONOPLE!$F$14,$M80,AR$13)="",10^12,OFFSET(CRONOPLE!$F$14,$M80,AR$13))))</f>
        <v>1000000000000</v>
      </c>
      <c r="AS80" s="181">
        <f ca="1">IF($D80&lt;&gt;"Serviço",0,IF(AND(AUTOEVENTO="Manual",$M80=1),0,IF(OFFSET(CRONOPLE!$F$14,$M80,AS$13)="",10^12,OFFSET(CRONOPLE!$F$14,$M80,AS$13))))</f>
        <v>1000000000000</v>
      </c>
      <c r="AT80" s="181">
        <f ca="1">IF($D80&lt;&gt;"Serviço",0,IF(AND(AUTOEVENTO="Manual",$M80=1),0,IF(OFFSET(CRONOPLE!$F$14,$M80,AT$13)="",10^12,OFFSET(CRONOPLE!$F$14,$M80,AT$13))))</f>
        <v>1000000000000</v>
      </c>
      <c r="AU80" s="181">
        <f ca="1">IF($D80&lt;&gt;"Serviço",0,IF(AND(AUTOEVENTO="Manual",$M80=1),0,IF(OFFSET(CRONOPLE!$F$14,$M80,AU$13)="",10^12,OFFSET(CRONOPLE!$F$14,$M80,AU$13))))</f>
        <v>1000000000000</v>
      </c>
      <c r="AV80" s="181">
        <f ca="1">IF($D80&lt;&gt;"Serviço",0,IF(AND(AUTOEVENTO="Manual",$M80=1),0,IF(OFFSET(CRONOPLE!$F$14,$M80,AV$13)="",10^12,OFFSET(CRONOPLE!$F$14,$M80,AV$13))))</f>
        <v>1000000000000</v>
      </c>
      <c r="AX80" s="182">
        <f ca="1">IF($D80&lt;&gt;"Serviço",0,IF(OR(AND(AUTOEVENTO="Manual",$M80=1),$M80&gt;(ROW(PLE.lastrow)-ROW(PLE.firstrow))),0,IF(OFFSET(PLE!$G$14,$M80,AX$13)="",10^12,OFFSET(PLE!$G$14,$M80,AX$13))))</f>
        <v>1000000000000</v>
      </c>
      <c r="AY80" s="182">
        <f ca="1">IF($D80&lt;&gt;"Serviço",0,IF(OR(AND(AUTOEVENTO="Manual",$M80=1),$M80&gt;(ROW(PLE.lastrow)-ROW(PLE.firstrow))),0,IF(OFFSET(PLE!$G$14,$M80,AY$13)="",10^12,OFFSET(PLE!$G$14,$M80,AY$13))))</f>
        <v>1000000000000</v>
      </c>
      <c r="AZ80" s="182">
        <f ca="1">IF($D80&lt;&gt;"Serviço",0,IF(OR(AND(AUTOEVENTO="Manual",$M80=1),$M80&gt;(ROW(PLE.lastrow)-ROW(PLE.firstrow))),0,IF(OFFSET(PLE!$G$14,$M80,AZ$13)="",10^12,OFFSET(PLE!$G$14,$M80,AZ$13))))</f>
        <v>1000000000000</v>
      </c>
      <c r="BA80" s="182">
        <f ca="1">IF($D80&lt;&gt;"Serviço",0,IF(OR(AND(AUTOEVENTO="Manual",$M80=1),$M80&gt;(ROW(PLE.lastrow)-ROW(PLE.firstrow))),0,IF(OFFSET(PLE!$G$14,$M80,BA$13)="",10^12,OFFSET(PLE!$G$14,$M80,BA$13))))</f>
        <v>1000000000000</v>
      </c>
      <c r="BB80" s="182">
        <f ca="1">IF($D80&lt;&gt;"Serviço",0,IF(OR(AND(AUTOEVENTO="Manual",$M80=1),$M80&gt;(ROW(PLE.lastrow)-ROW(PLE.firstrow))),0,IF(OFFSET(PLE!$G$14,$M80,BB$13)="",10^12,OFFSET(PLE!$G$14,$M80,BB$13))))</f>
        <v>1000000000000</v>
      </c>
      <c r="BC80" s="182">
        <f ca="1">IF($D80&lt;&gt;"Serviço",0,IF(OR(AND(AUTOEVENTO="Manual",$M80=1),$M80&gt;(ROW(PLE.lastrow)-ROW(PLE.firstrow))),0,IF(OFFSET(PLE!$G$14,$M80,BC$13)="",10^12,OFFSET(PLE!$G$14,$M80,BC$13))))</f>
        <v>1000000000000</v>
      </c>
      <c r="BD80" s="182">
        <f ca="1">IF($D80&lt;&gt;"Serviço",0,IF(OR(AND(AUTOEVENTO="Manual",$M80=1),$M80&gt;(ROW(PLE.lastrow)-ROW(PLE.firstrow))),0,IF(OFFSET(PLE!$G$14,$M80,BD$13)="",10^12,OFFSET(PLE!$G$14,$M80,BD$13))))</f>
        <v>1000000000000</v>
      </c>
      <c r="BE80" s="182">
        <f ca="1">IF($D80&lt;&gt;"Serviço",0,IF(OR(AND(AUTOEVENTO="Manual",$M80=1),$M80&gt;(ROW(PLE.lastrow)-ROW(PLE.firstrow))),0,IF(OFFSET(PLE!$G$14,$M80,BE$13)="",10^12,OFFSET(PLE!$G$14,$M80,BE$13))))</f>
        <v>1000000000000</v>
      </c>
      <c r="BF80" s="182">
        <f ca="1">IF($D80&lt;&gt;"Serviço",0,IF(OR(AND(AUTOEVENTO="Manual",$M80=1),$M80&gt;(ROW(PLE.lastrow)-ROW(PLE.firstrow))),0,IF(OFFSET(PLE!$G$14,$M80,BF$13)="",10^12,OFFSET(PLE!$G$14,$M80,BF$13))))</f>
        <v>1000000000000</v>
      </c>
      <c r="BG80" s="182">
        <f ca="1">IF($D80&lt;&gt;"Serviço",0,IF(OR(AND(AUTOEVENTO="Manual",$M80=1),$M80&gt;(ROW(PLE.lastrow)-ROW(PLE.firstrow))),0,IF(OFFSET(PLE!$G$14,$M80,BG$13)="",10^12,OFFSET(PLE!$G$14,$M80,BG$13))))</f>
        <v>1000000000000</v>
      </c>
    </row>
    <row r="81" spans="1:59" s="577" customFormat="1" ht="25.5" x14ac:dyDescent="0.2">
      <c r="A81" s="7" t="str">
        <f t="shared" ca="1" si="8"/>
        <v>58</v>
      </c>
      <c r="B81" s="7" t="str">
        <f ca="1">OFFSET(ORÇAMENTO!C$15,ROW(B81)-ROW(B$15),0)</f>
        <v>S</v>
      </c>
      <c r="C81" s="7" t="str">
        <f ca="1">OFFSET(ORÇAMENTO!L$15,ROW(C81)-ROW(C$15),0)</f>
        <v>F</v>
      </c>
      <c r="D81" s="118" t="str">
        <f ca="1">OFFSET(ORÇAMENTO!N$15,ROW(D81)-ROW(D$15),0)</f>
        <v>Serviço</v>
      </c>
      <c r="E81" s="119" t="str">
        <f ca="1">OFFSET(ORÇAMENTO!O$15,ROW(E81)-ROW(E$15),0)</f>
        <v>2.4.8.</v>
      </c>
      <c r="F81" s="172" t="str">
        <f ca="1">OFFSET(ORÇAMENTO!R$15,ROW(F81)-ROW(F$15),0)</f>
        <v>Transporte de material betuminoso com caminhão tanque distribuidor - rodovia pavimentada</v>
      </c>
      <c r="G81" s="173" t="str">
        <f ca="1">IF($D81&lt;&gt;"Serviço","",OFFSET(ORÇAMENTO!S$15,ROW(G81)-ROW(G$15),0))</f>
        <v>tkm</v>
      </c>
      <c r="H81" s="124">
        <f ca="1">IF($D81&lt;&gt;"Serviço",0,IF(ACOMPANHAMENTO="BM",ROUND(OFFSET(ORÇAMENTO!AJ$15,ROW(H81)-ROW(H$15),0),15-13*ORÇAMENTO!$AF$7),SUMPRODUCT(($Q$12:$AA$12&lt;&gt;"")*ROUND($Q81:$AA81,15-13*ORÇAMENTO!$AF$7))))</f>
        <v>14817.6</v>
      </c>
      <c r="I81" s="561"/>
      <c r="K81" s="174"/>
      <c r="L81" s="175" t="s">
        <v>255</v>
      </c>
      <c r="M81" s="176">
        <f ca="1">IF($D81&lt;&gt;"Serviço","",IF(AUTOEVENTO="manual",$A81,IF(ISERROR(MATCH($A81,$A$15:OFFSET($A81,-1,0),0)),MAX($M$15:OFFSET(M81,-1,0))+1,INDEX($M$15:OFFSET(M81,-1,0),MATCH($A81,$A$15:OFFSET($A81,-1,0),0)))))</f>
        <v>10</v>
      </c>
      <c r="N81" s="177" t="str">
        <f ca="1">IF($D81&lt;&gt;"Serviço","",IF(AUTOEVENTO="Manual",IF($A81=0,"&lt;-- defina o número do agrupador",OFFSET(EVENTOS!$D$14,$A81,0)),OFFSET($F$15,$A81,0)))</f>
        <v>PAVIMENTAÇÃO</v>
      </c>
      <c r="O81" s="178"/>
      <c r="Q81" s="178"/>
      <c r="R81" s="179"/>
      <c r="S81" s="179"/>
      <c r="T81" s="179"/>
      <c r="U81" s="179"/>
      <c r="V81" s="179"/>
      <c r="W81" s="179"/>
      <c r="X81" s="179"/>
      <c r="Y81" s="179"/>
      <c r="Z81" s="180"/>
      <c r="AB81" s="544">
        <f ca="1">IF(AND($D81="Serviço",AB$12&lt;&gt;0,$H81&gt;0,OR(AUTOEVENTO&lt;&gt;"manual",$M81&lt;&gt;1)), IF(Import.TipoArredondamento&lt;&gt;"TransfereGOV", ROUND(OFFSET($P81,0,AB$13),15-13*ORÇAMENTO!$AF$7)/$H81*OFFSET(ORÇAMENTO!$X$15,ROW(AB81)-ROW(AB$15),0), ROUND(ROUND(OFFSET($P81,0,AB$13),15-13*ORÇAMENTO!$AF$7)*OFFSET(ORÇAMENTO!$W$15,ROW(AB81)-ROW(AB$15),0),15-13*ORÇAMENTO!$AF$11)),0)</f>
        <v>0</v>
      </c>
      <c r="AC81" s="545">
        <f ca="1">IF(AND($D81="Serviço",AC$12&lt;&gt;0,$H81&gt;0,OR(AUTOEVENTO&lt;&gt;"manual",$M81&lt;&gt;1)), IF(Import.TipoArredondamento&lt;&gt;"TransfereGOV", ROUND(OFFSET($P81,0,AC$13),15-13*ORÇAMENTO!$AF$7)/$H81*OFFSET(ORÇAMENTO!$X$15,ROW(AC81)-ROW(AC$15),0), ROUND(ROUND(OFFSET($P81,0,AC$13),15-13*ORÇAMENTO!$AF$7)*OFFSET(ORÇAMENTO!$W$15,ROW(AC81)-ROW(AC$15),0),15-13*ORÇAMENTO!$AF$11)),0)</f>
        <v>0</v>
      </c>
      <c r="AD81" s="545">
        <f ca="1">IF(AND($D81="Serviço",AD$12&lt;&gt;0,$H81&gt;0,OR(AUTOEVENTO&lt;&gt;"manual",$M81&lt;&gt;1)), IF(Import.TipoArredondamento&lt;&gt;"TransfereGOV", ROUND(OFFSET($P81,0,AD$13),15-13*ORÇAMENTO!$AF$7)/$H81*OFFSET(ORÇAMENTO!$X$15,ROW(AD81)-ROW(AD$15),0), ROUND(ROUND(OFFSET($P81,0,AD$13),15-13*ORÇAMENTO!$AF$7)*OFFSET(ORÇAMENTO!$W$15,ROW(AD81)-ROW(AD$15),0),15-13*ORÇAMENTO!$AF$11)),0)</f>
        <v>0</v>
      </c>
      <c r="AE81" s="545">
        <f ca="1">IF(AND($D81="Serviço",AE$12&lt;&gt;0,$H81&gt;0,OR(AUTOEVENTO&lt;&gt;"manual",$M81&lt;&gt;1)), IF(Import.TipoArredondamento&lt;&gt;"TransfereGOV", ROUND(OFFSET($P81,0,AE$13),15-13*ORÇAMENTO!$AF$7)/$H81*OFFSET(ORÇAMENTO!$X$15,ROW(AE81)-ROW(AE$15),0), ROUND(ROUND(OFFSET($P81,0,AE$13),15-13*ORÇAMENTO!$AF$7)*OFFSET(ORÇAMENTO!$W$15,ROW(AE81)-ROW(AE$15),0),15-13*ORÇAMENTO!$AF$11)),0)</f>
        <v>0</v>
      </c>
      <c r="AF81" s="545">
        <f ca="1">IF(AND($D81="Serviço",AF$12&lt;&gt;0,$H81&gt;0,OR(AUTOEVENTO&lt;&gt;"manual",$M81&lt;&gt;1)), IF(Import.TipoArredondamento&lt;&gt;"TransfereGOV", ROUND(OFFSET($P81,0,AF$13),15-13*ORÇAMENTO!$AF$7)/$H81*OFFSET(ORÇAMENTO!$X$15,ROW(AF81)-ROW(AF$15),0), ROUND(ROUND(OFFSET($P81,0,AF$13),15-13*ORÇAMENTO!$AF$7)*OFFSET(ORÇAMENTO!$W$15,ROW(AF81)-ROW(AF$15),0),15-13*ORÇAMENTO!$AF$11)),0)</f>
        <v>0</v>
      </c>
      <c r="AG81" s="545">
        <f ca="1">IF(AND($D81="Serviço",AG$12&lt;&gt;0,$H81&gt;0,OR(AUTOEVENTO&lt;&gt;"manual",$M81&lt;&gt;1)), IF(Import.TipoArredondamento&lt;&gt;"TransfereGOV", ROUND(OFFSET($P81,0,AG$13),15-13*ORÇAMENTO!$AF$7)/$H81*OFFSET(ORÇAMENTO!$X$15,ROW(AG81)-ROW(AG$15),0), ROUND(ROUND(OFFSET($P81,0,AG$13),15-13*ORÇAMENTO!$AF$7)*OFFSET(ORÇAMENTO!$W$15,ROW(AG81)-ROW(AG$15),0),15-13*ORÇAMENTO!$AF$11)),0)</f>
        <v>0</v>
      </c>
      <c r="AH81" s="545">
        <f ca="1">IF(AND($D81="Serviço",AH$12&lt;&gt;0,$H81&gt;0,OR(AUTOEVENTO&lt;&gt;"manual",$M81&lt;&gt;1)), IF(Import.TipoArredondamento&lt;&gt;"TransfereGOV", ROUND(OFFSET($P81,0,AH$13),15-13*ORÇAMENTO!$AF$7)/$H81*OFFSET(ORÇAMENTO!$X$15,ROW(AH81)-ROW(AH$15),0), ROUND(ROUND(OFFSET($P81,0,AH$13),15-13*ORÇAMENTO!$AF$7)*OFFSET(ORÇAMENTO!$W$15,ROW(AH81)-ROW(AH$15),0),15-13*ORÇAMENTO!$AF$11)),0)</f>
        <v>0</v>
      </c>
      <c r="AI81" s="545">
        <f ca="1">IF(AND($D81="Serviço",AI$12&lt;&gt;0,$H81&gt;0,OR(AUTOEVENTO&lt;&gt;"manual",$M81&lt;&gt;1)), IF(Import.TipoArredondamento&lt;&gt;"TransfereGOV", ROUND(OFFSET($P81,0,AI$13),15-13*ORÇAMENTO!$AF$7)/$H81*OFFSET(ORÇAMENTO!$X$15,ROW(AI81)-ROW(AI$15),0), ROUND(ROUND(OFFSET($P81,0,AI$13),15-13*ORÇAMENTO!$AF$7)*OFFSET(ORÇAMENTO!$W$15,ROW(AI81)-ROW(AI$15),0),15-13*ORÇAMENTO!$AF$11)),0)</f>
        <v>0</v>
      </c>
      <c r="AJ81" s="545">
        <f ca="1">IF(AND($D81="Serviço",AJ$12&lt;&gt;0,$H81&gt;0,OR(AUTOEVENTO&lt;&gt;"manual",$M81&lt;&gt;1)), IF(Import.TipoArredondamento&lt;&gt;"TransfereGOV", ROUND(OFFSET($P81,0,AJ$13),15-13*ORÇAMENTO!$AF$7)/$H81*OFFSET(ORÇAMENTO!$X$15,ROW(AJ81)-ROW(AJ$15),0), ROUND(ROUND(OFFSET($P81,0,AJ$13),15-13*ORÇAMENTO!$AF$7)*OFFSET(ORÇAMENTO!$W$15,ROW(AJ81)-ROW(AJ$15),0),15-13*ORÇAMENTO!$AF$11)),0)</f>
        <v>0</v>
      </c>
      <c r="AK81" s="546">
        <f ca="1">IF(AND($D81="Serviço",AK$12&lt;&gt;0,$H81&gt;0,OR(AUTOEVENTO&lt;&gt;"manual",$M81&lt;&gt;1)), IF(Import.TipoArredondamento&lt;&gt;"TransfereGOV", ROUND(OFFSET($P81,0,AK$13),15-13*ORÇAMENTO!$AF$7)/$H81*OFFSET(ORÇAMENTO!$X$15,ROW(AK81)-ROW(AK$15),0), ROUND(ROUND(OFFSET($P81,0,AK$13),15-13*ORÇAMENTO!$AF$7)*OFFSET(ORÇAMENTO!$W$15,ROW(AK81)-ROW(AK$15),0),15-13*ORÇAMENTO!$AF$11)),0)</f>
        <v>0</v>
      </c>
      <c r="AM81" s="181">
        <f ca="1">IF($D81&lt;&gt;"Serviço",0,IF(AND(AUTOEVENTO="Manual",$M81=1),0,IF(OFFSET(CRONOPLE!$F$14,$M81,AM$13)="",10^12,OFFSET(CRONOPLE!$F$14,$M81,AM$13))))</f>
        <v>1000000000000</v>
      </c>
      <c r="AN81" s="181">
        <f ca="1">IF($D81&lt;&gt;"Serviço",0,IF(AND(AUTOEVENTO="Manual",$M81=1),0,IF(OFFSET(CRONOPLE!$F$14,$M81,AN$13)="",10^12,OFFSET(CRONOPLE!$F$14,$M81,AN$13))))</f>
        <v>1000000000000</v>
      </c>
      <c r="AO81" s="181">
        <f ca="1">IF($D81&lt;&gt;"Serviço",0,IF(AND(AUTOEVENTO="Manual",$M81=1),0,IF(OFFSET(CRONOPLE!$F$14,$M81,AO$13)="",10^12,OFFSET(CRONOPLE!$F$14,$M81,AO$13))))</f>
        <v>1000000000000</v>
      </c>
      <c r="AP81" s="181">
        <f ca="1">IF($D81&lt;&gt;"Serviço",0,IF(AND(AUTOEVENTO="Manual",$M81=1),0,IF(OFFSET(CRONOPLE!$F$14,$M81,AP$13)="",10^12,OFFSET(CRONOPLE!$F$14,$M81,AP$13))))</f>
        <v>1000000000000</v>
      </c>
      <c r="AQ81" s="181">
        <f ca="1">IF($D81&lt;&gt;"Serviço",0,IF(AND(AUTOEVENTO="Manual",$M81=1),0,IF(OFFSET(CRONOPLE!$F$14,$M81,AQ$13)="",10^12,OFFSET(CRONOPLE!$F$14,$M81,AQ$13))))</f>
        <v>1000000000000</v>
      </c>
      <c r="AR81" s="181">
        <f ca="1">IF($D81&lt;&gt;"Serviço",0,IF(AND(AUTOEVENTO="Manual",$M81=1),0,IF(OFFSET(CRONOPLE!$F$14,$M81,AR$13)="",10^12,OFFSET(CRONOPLE!$F$14,$M81,AR$13))))</f>
        <v>1000000000000</v>
      </c>
      <c r="AS81" s="181">
        <f ca="1">IF($D81&lt;&gt;"Serviço",0,IF(AND(AUTOEVENTO="Manual",$M81=1),0,IF(OFFSET(CRONOPLE!$F$14,$M81,AS$13)="",10^12,OFFSET(CRONOPLE!$F$14,$M81,AS$13))))</f>
        <v>1000000000000</v>
      </c>
      <c r="AT81" s="181">
        <f ca="1">IF($D81&lt;&gt;"Serviço",0,IF(AND(AUTOEVENTO="Manual",$M81=1),0,IF(OFFSET(CRONOPLE!$F$14,$M81,AT$13)="",10^12,OFFSET(CRONOPLE!$F$14,$M81,AT$13))))</f>
        <v>1000000000000</v>
      </c>
      <c r="AU81" s="181">
        <f ca="1">IF($D81&lt;&gt;"Serviço",0,IF(AND(AUTOEVENTO="Manual",$M81=1),0,IF(OFFSET(CRONOPLE!$F$14,$M81,AU$13)="",10^12,OFFSET(CRONOPLE!$F$14,$M81,AU$13))))</f>
        <v>1000000000000</v>
      </c>
      <c r="AV81" s="181">
        <f ca="1">IF($D81&lt;&gt;"Serviço",0,IF(AND(AUTOEVENTO="Manual",$M81=1),0,IF(OFFSET(CRONOPLE!$F$14,$M81,AV$13)="",10^12,OFFSET(CRONOPLE!$F$14,$M81,AV$13))))</f>
        <v>1000000000000</v>
      </c>
      <c r="AX81" s="182">
        <f ca="1">IF($D81&lt;&gt;"Serviço",0,IF(OR(AND(AUTOEVENTO="Manual",$M81=1),$M81&gt;(ROW(PLE.lastrow)-ROW(PLE.firstrow))),0,IF(OFFSET(PLE!$G$14,$M81,AX$13)="",10^12,OFFSET(PLE!$G$14,$M81,AX$13))))</f>
        <v>1000000000000</v>
      </c>
      <c r="AY81" s="182">
        <f ca="1">IF($D81&lt;&gt;"Serviço",0,IF(OR(AND(AUTOEVENTO="Manual",$M81=1),$M81&gt;(ROW(PLE.lastrow)-ROW(PLE.firstrow))),0,IF(OFFSET(PLE!$G$14,$M81,AY$13)="",10^12,OFFSET(PLE!$G$14,$M81,AY$13))))</f>
        <v>1000000000000</v>
      </c>
      <c r="AZ81" s="182">
        <f ca="1">IF($D81&lt;&gt;"Serviço",0,IF(OR(AND(AUTOEVENTO="Manual",$M81=1),$M81&gt;(ROW(PLE.lastrow)-ROW(PLE.firstrow))),0,IF(OFFSET(PLE!$G$14,$M81,AZ$13)="",10^12,OFFSET(PLE!$G$14,$M81,AZ$13))))</f>
        <v>1000000000000</v>
      </c>
      <c r="BA81" s="182">
        <f ca="1">IF($D81&lt;&gt;"Serviço",0,IF(OR(AND(AUTOEVENTO="Manual",$M81=1),$M81&gt;(ROW(PLE.lastrow)-ROW(PLE.firstrow))),0,IF(OFFSET(PLE!$G$14,$M81,BA$13)="",10^12,OFFSET(PLE!$G$14,$M81,BA$13))))</f>
        <v>1000000000000</v>
      </c>
      <c r="BB81" s="182">
        <f ca="1">IF($D81&lt;&gt;"Serviço",0,IF(OR(AND(AUTOEVENTO="Manual",$M81=1),$M81&gt;(ROW(PLE.lastrow)-ROW(PLE.firstrow))),0,IF(OFFSET(PLE!$G$14,$M81,BB$13)="",10^12,OFFSET(PLE!$G$14,$M81,BB$13))))</f>
        <v>1000000000000</v>
      </c>
      <c r="BC81" s="182">
        <f ca="1">IF($D81&lt;&gt;"Serviço",0,IF(OR(AND(AUTOEVENTO="Manual",$M81=1),$M81&gt;(ROW(PLE.lastrow)-ROW(PLE.firstrow))),0,IF(OFFSET(PLE!$G$14,$M81,BC$13)="",10^12,OFFSET(PLE!$G$14,$M81,BC$13))))</f>
        <v>1000000000000</v>
      </c>
      <c r="BD81" s="182">
        <f ca="1">IF($D81&lt;&gt;"Serviço",0,IF(OR(AND(AUTOEVENTO="Manual",$M81=1),$M81&gt;(ROW(PLE.lastrow)-ROW(PLE.firstrow))),0,IF(OFFSET(PLE!$G$14,$M81,BD$13)="",10^12,OFFSET(PLE!$G$14,$M81,BD$13))))</f>
        <v>1000000000000</v>
      </c>
      <c r="BE81" s="182">
        <f ca="1">IF($D81&lt;&gt;"Serviço",0,IF(OR(AND(AUTOEVENTO="Manual",$M81=1),$M81&gt;(ROW(PLE.lastrow)-ROW(PLE.firstrow))),0,IF(OFFSET(PLE!$G$14,$M81,BE$13)="",10^12,OFFSET(PLE!$G$14,$M81,BE$13))))</f>
        <v>1000000000000</v>
      </c>
      <c r="BF81" s="182">
        <f ca="1">IF($D81&lt;&gt;"Serviço",0,IF(OR(AND(AUTOEVENTO="Manual",$M81=1),$M81&gt;(ROW(PLE.lastrow)-ROW(PLE.firstrow))),0,IF(OFFSET(PLE!$G$14,$M81,BF$13)="",10^12,OFFSET(PLE!$G$14,$M81,BF$13))))</f>
        <v>1000000000000</v>
      </c>
      <c r="BG81" s="182">
        <f ca="1">IF($D81&lt;&gt;"Serviço",0,IF(OR(AND(AUTOEVENTO="Manual",$M81=1),$M81&gt;(ROW(PLE.lastrow)-ROW(PLE.firstrow))),0,IF(OFFSET(PLE!$G$14,$M81,BG$13)="",10^12,OFFSET(PLE!$G$14,$M81,BG$13))))</f>
        <v>1000000000000</v>
      </c>
    </row>
    <row r="82" spans="1:59" ht="12.75" x14ac:dyDescent="0.2">
      <c r="A82" s="7" t="str">
        <f t="shared" ca="1" si="8"/>
        <v>67.</v>
      </c>
      <c r="B82" s="7">
        <f ca="1">OFFSET(ORÇAMENTO!C$15,ROW(B82)-ROW(B$15),0)</f>
        <v>2</v>
      </c>
      <c r="C82" s="7" t="str">
        <f ca="1">OFFSET(ORÇAMENTO!L$15,ROW(C82)-ROW(C$15),0)</f>
        <v>F</v>
      </c>
      <c r="D82" s="118" t="str">
        <f ca="1">OFFSET(ORÇAMENTO!N$15,ROW(D82)-ROW(D$15),0)</f>
        <v>Nível 2</v>
      </c>
      <c r="E82" s="119" t="str">
        <f ca="1">OFFSET(ORÇAMENTO!O$15,ROW(E82)-ROW(E$15),0)</f>
        <v>2.5.</v>
      </c>
      <c r="F82" s="172" t="str">
        <f ca="1">OFFSET(ORÇAMENTO!R$15,ROW(F82)-ROW(F$15),0)</f>
        <v>SINALIZAÇÃO</v>
      </c>
      <c r="G82" s="173" t="str">
        <f ca="1">IF($D82&lt;&gt;"Serviço","",OFFSET(ORÇAMENTO!S$15,ROW(G82)-ROW(G$15),0))</f>
        <v/>
      </c>
      <c r="H82" s="124">
        <f ca="1">IF($D82&lt;&gt;"Serviço",0,IF(ACOMPANHAMENTO="BM",ROUND(OFFSET(ORÇAMENTO!AJ$15,ROW(H82)-ROW(H$15),0),15-13*ORÇAMENTO!$AF$7),SUMPRODUCT(($Q$12:$AA$12&lt;&gt;"")*ROUND($Q82:$AA82,15-13*ORÇAMENTO!$AF$7))))</f>
        <v>0</v>
      </c>
      <c r="I82" s="561"/>
      <c r="K82" s="174"/>
      <c r="L82" s="175" t="s">
        <v>255</v>
      </c>
      <c r="M82" s="176" t="str">
        <f ca="1">IF($D82&lt;&gt;"Serviço","",IF(AUTOEVENTO="manual",$A82,IF(ISERROR(MATCH($A82,$A$15:OFFSET($A82,-1,0),0)),MAX($M$15:OFFSET(M82,-1,0))+1,INDEX($M$15:OFFSET(M82,-1,0),MATCH($A82,$A$15:OFFSET($A82,-1,0),0)))))</f>
        <v/>
      </c>
      <c r="N82" s="177" t="str">
        <f ca="1">IF($D82&lt;&gt;"Serviço","",IF(AUTOEVENTO="Manual",IF($A82=0,"&lt;-- defina o número do agrupador",OFFSET(EVENTOS!$D$14,$A82,0)),OFFSET($F$15,$A82,0)))</f>
        <v/>
      </c>
      <c r="O82" s="178"/>
      <c r="Q82" s="178"/>
      <c r="R82" s="179"/>
      <c r="S82" s="179"/>
      <c r="T82" s="179"/>
      <c r="U82" s="179"/>
      <c r="V82" s="179"/>
      <c r="W82" s="179"/>
      <c r="X82" s="179"/>
      <c r="Y82" s="179"/>
      <c r="Z82" s="180"/>
      <c r="AB82" s="544">
        <f ca="1">IF(AND($D82="Serviço",AB$12&lt;&gt;0,$H82&gt;0,OR(AUTOEVENTO&lt;&gt;"manual",$M82&lt;&gt;1)), IF(Import.TipoArredondamento&lt;&gt;"TransfereGOV", ROUND(OFFSET($P82,0,AB$13),15-13*ORÇAMENTO!$AF$7)/$H82*OFFSET(ORÇAMENTO!$X$15,ROW(AB82)-ROW(AB$15),0), ROUND(ROUND(OFFSET($P82,0,AB$13),15-13*ORÇAMENTO!$AF$7)*OFFSET(ORÇAMENTO!$W$15,ROW(AB82)-ROW(AB$15),0),15-13*ORÇAMENTO!$AF$11)),0)</f>
        <v>0</v>
      </c>
      <c r="AC82" s="545">
        <f ca="1">IF(AND($D82="Serviço",AC$12&lt;&gt;0,$H82&gt;0,OR(AUTOEVENTO&lt;&gt;"manual",$M82&lt;&gt;1)), IF(Import.TipoArredondamento&lt;&gt;"TransfereGOV", ROUND(OFFSET($P82,0,AC$13),15-13*ORÇAMENTO!$AF$7)/$H82*OFFSET(ORÇAMENTO!$X$15,ROW(AC82)-ROW(AC$15),0), ROUND(ROUND(OFFSET($P82,0,AC$13),15-13*ORÇAMENTO!$AF$7)*OFFSET(ORÇAMENTO!$W$15,ROW(AC82)-ROW(AC$15),0),15-13*ORÇAMENTO!$AF$11)),0)</f>
        <v>0</v>
      </c>
      <c r="AD82" s="545">
        <f ca="1">IF(AND($D82="Serviço",AD$12&lt;&gt;0,$H82&gt;0,OR(AUTOEVENTO&lt;&gt;"manual",$M82&lt;&gt;1)), IF(Import.TipoArredondamento&lt;&gt;"TransfereGOV", ROUND(OFFSET($P82,0,AD$13),15-13*ORÇAMENTO!$AF$7)/$H82*OFFSET(ORÇAMENTO!$X$15,ROW(AD82)-ROW(AD$15),0), ROUND(ROUND(OFFSET($P82,0,AD$13),15-13*ORÇAMENTO!$AF$7)*OFFSET(ORÇAMENTO!$W$15,ROW(AD82)-ROW(AD$15),0),15-13*ORÇAMENTO!$AF$11)),0)</f>
        <v>0</v>
      </c>
      <c r="AE82" s="545">
        <f ca="1">IF(AND($D82="Serviço",AE$12&lt;&gt;0,$H82&gt;0,OR(AUTOEVENTO&lt;&gt;"manual",$M82&lt;&gt;1)), IF(Import.TipoArredondamento&lt;&gt;"TransfereGOV", ROUND(OFFSET($P82,0,AE$13),15-13*ORÇAMENTO!$AF$7)/$H82*OFFSET(ORÇAMENTO!$X$15,ROW(AE82)-ROW(AE$15),0), ROUND(ROUND(OFFSET($P82,0,AE$13),15-13*ORÇAMENTO!$AF$7)*OFFSET(ORÇAMENTO!$W$15,ROW(AE82)-ROW(AE$15),0),15-13*ORÇAMENTO!$AF$11)),0)</f>
        <v>0</v>
      </c>
      <c r="AF82" s="545">
        <f ca="1">IF(AND($D82="Serviço",AF$12&lt;&gt;0,$H82&gt;0,OR(AUTOEVENTO&lt;&gt;"manual",$M82&lt;&gt;1)), IF(Import.TipoArredondamento&lt;&gt;"TransfereGOV", ROUND(OFFSET($P82,0,AF$13),15-13*ORÇAMENTO!$AF$7)/$H82*OFFSET(ORÇAMENTO!$X$15,ROW(AF82)-ROW(AF$15),0), ROUND(ROUND(OFFSET($P82,0,AF$13),15-13*ORÇAMENTO!$AF$7)*OFFSET(ORÇAMENTO!$W$15,ROW(AF82)-ROW(AF$15),0),15-13*ORÇAMENTO!$AF$11)),0)</f>
        <v>0</v>
      </c>
      <c r="AG82" s="545">
        <f ca="1">IF(AND($D82="Serviço",AG$12&lt;&gt;0,$H82&gt;0,OR(AUTOEVENTO&lt;&gt;"manual",$M82&lt;&gt;1)), IF(Import.TipoArredondamento&lt;&gt;"TransfereGOV", ROUND(OFFSET($P82,0,AG$13),15-13*ORÇAMENTO!$AF$7)/$H82*OFFSET(ORÇAMENTO!$X$15,ROW(AG82)-ROW(AG$15),0), ROUND(ROUND(OFFSET($P82,0,AG$13),15-13*ORÇAMENTO!$AF$7)*OFFSET(ORÇAMENTO!$W$15,ROW(AG82)-ROW(AG$15),0),15-13*ORÇAMENTO!$AF$11)),0)</f>
        <v>0</v>
      </c>
      <c r="AH82" s="545">
        <f ca="1">IF(AND($D82="Serviço",AH$12&lt;&gt;0,$H82&gt;0,OR(AUTOEVENTO&lt;&gt;"manual",$M82&lt;&gt;1)), IF(Import.TipoArredondamento&lt;&gt;"TransfereGOV", ROUND(OFFSET($P82,0,AH$13),15-13*ORÇAMENTO!$AF$7)/$H82*OFFSET(ORÇAMENTO!$X$15,ROW(AH82)-ROW(AH$15),0), ROUND(ROUND(OFFSET($P82,0,AH$13),15-13*ORÇAMENTO!$AF$7)*OFFSET(ORÇAMENTO!$W$15,ROW(AH82)-ROW(AH$15),0),15-13*ORÇAMENTO!$AF$11)),0)</f>
        <v>0</v>
      </c>
      <c r="AI82" s="545">
        <f ca="1">IF(AND($D82="Serviço",AI$12&lt;&gt;0,$H82&gt;0,OR(AUTOEVENTO&lt;&gt;"manual",$M82&lt;&gt;1)), IF(Import.TipoArredondamento&lt;&gt;"TransfereGOV", ROUND(OFFSET($P82,0,AI$13),15-13*ORÇAMENTO!$AF$7)/$H82*OFFSET(ORÇAMENTO!$X$15,ROW(AI82)-ROW(AI$15),0), ROUND(ROUND(OFFSET($P82,0,AI$13),15-13*ORÇAMENTO!$AF$7)*OFFSET(ORÇAMENTO!$W$15,ROW(AI82)-ROW(AI$15),0),15-13*ORÇAMENTO!$AF$11)),0)</f>
        <v>0</v>
      </c>
      <c r="AJ82" s="545">
        <f ca="1">IF(AND($D82="Serviço",AJ$12&lt;&gt;0,$H82&gt;0,OR(AUTOEVENTO&lt;&gt;"manual",$M82&lt;&gt;1)), IF(Import.TipoArredondamento&lt;&gt;"TransfereGOV", ROUND(OFFSET($P82,0,AJ$13),15-13*ORÇAMENTO!$AF$7)/$H82*OFFSET(ORÇAMENTO!$X$15,ROW(AJ82)-ROW(AJ$15),0), ROUND(ROUND(OFFSET($P82,0,AJ$13),15-13*ORÇAMENTO!$AF$7)*OFFSET(ORÇAMENTO!$W$15,ROW(AJ82)-ROW(AJ$15),0),15-13*ORÇAMENTO!$AF$11)),0)</f>
        <v>0</v>
      </c>
      <c r="AK82" s="546">
        <f ca="1">IF(AND($D82="Serviço",AK$12&lt;&gt;0,$H82&gt;0,OR(AUTOEVENTO&lt;&gt;"manual",$M82&lt;&gt;1)), IF(Import.TipoArredondamento&lt;&gt;"TransfereGOV", ROUND(OFFSET($P82,0,AK$13),15-13*ORÇAMENTO!$AF$7)/$H82*OFFSET(ORÇAMENTO!$X$15,ROW(AK82)-ROW(AK$15),0), ROUND(ROUND(OFFSET($P82,0,AK$13),15-13*ORÇAMENTO!$AF$7)*OFFSET(ORÇAMENTO!$W$15,ROW(AK82)-ROW(AK$15),0),15-13*ORÇAMENTO!$AF$11)),0)</f>
        <v>0</v>
      </c>
      <c r="AM82" s="181">
        <f ca="1">IF($D82&lt;&gt;"Serviço",0,IF(AND(AUTOEVENTO="Manual",$M82=1),0,IF(OFFSET(CRONOPLE!$F$14,$M82,AM$13)="",10^12,OFFSET(CRONOPLE!$F$14,$M82,AM$13))))</f>
        <v>0</v>
      </c>
      <c r="AN82" s="181">
        <f ca="1">IF($D82&lt;&gt;"Serviço",0,IF(AND(AUTOEVENTO="Manual",$M82=1),0,IF(OFFSET(CRONOPLE!$F$14,$M82,AN$13)="",10^12,OFFSET(CRONOPLE!$F$14,$M82,AN$13))))</f>
        <v>0</v>
      </c>
      <c r="AO82" s="181">
        <f ca="1">IF($D82&lt;&gt;"Serviço",0,IF(AND(AUTOEVENTO="Manual",$M82=1),0,IF(OFFSET(CRONOPLE!$F$14,$M82,AO$13)="",10^12,OFFSET(CRONOPLE!$F$14,$M82,AO$13))))</f>
        <v>0</v>
      </c>
      <c r="AP82" s="181">
        <f ca="1">IF($D82&lt;&gt;"Serviço",0,IF(AND(AUTOEVENTO="Manual",$M82=1),0,IF(OFFSET(CRONOPLE!$F$14,$M82,AP$13)="",10^12,OFFSET(CRONOPLE!$F$14,$M82,AP$13))))</f>
        <v>0</v>
      </c>
      <c r="AQ82" s="181">
        <f ca="1">IF($D82&lt;&gt;"Serviço",0,IF(AND(AUTOEVENTO="Manual",$M82=1),0,IF(OFFSET(CRONOPLE!$F$14,$M82,AQ$13)="",10^12,OFFSET(CRONOPLE!$F$14,$M82,AQ$13))))</f>
        <v>0</v>
      </c>
      <c r="AR82" s="181">
        <f ca="1">IF($D82&lt;&gt;"Serviço",0,IF(AND(AUTOEVENTO="Manual",$M82=1),0,IF(OFFSET(CRONOPLE!$F$14,$M82,AR$13)="",10^12,OFFSET(CRONOPLE!$F$14,$M82,AR$13))))</f>
        <v>0</v>
      </c>
      <c r="AS82" s="181">
        <f ca="1">IF($D82&lt;&gt;"Serviço",0,IF(AND(AUTOEVENTO="Manual",$M82=1),0,IF(OFFSET(CRONOPLE!$F$14,$M82,AS$13)="",10^12,OFFSET(CRONOPLE!$F$14,$M82,AS$13))))</f>
        <v>0</v>
      </c>
      <c r="AT82" s="181">
        <f ca="1">IF($D82&lt;&gt;"Serviço",0,IF(AND(AUTOEVENTO="Manual",$M82=1),0,IF(OFFSET(CRONOPLE!$F$14,$M82,AT$13)="",10^12,OFFSET(CRONOPLE!$F$14,$M82,AT$13))))</f>
        <v>0</v>
      </c>
      <c r="AU82" s="181">
        <f ca="1">IF($D82&lt;&gt;"Serviço",0,IF(AND(AUTOEVENTO="Manual",$M82=1),0,IF(OFFSET(CRONOPLE!$F$14,$M82,AU$13)="",10^12,OFFSET(CRONOPLE!$F$14,$M82,AU$13))))</f>
        <v>0</v>
      </c>
      <c r="AV82" s="181">
        <f ca="1">IF($D82&lt;&gt;"Serviço",0,IF(AND(AUTOEVENTO="Manual",$M82=1),0,IF(OFFSET(CRONOPLE!$F$14,$M82,AV$13)="",10^12,OFFSET(CRONOPLE!$F$14,$M82,AV$13))))</f>
        <v>0</v>
      </c>
      <c r="AX82" s="182">
        <f ca="1">IF($D82&lt;&gt;"Serviço",0,IF(OR(AND(AUTOEVENTO="Manual",$M82=1),$M82&gt;(ROW(PLE.lastrow)-ROW(PLE.firstrow))),0,IF(OFFSET(PLE!$G$14,$M82,AX$13)="",10^12,OFFSET(PLE!$G$14,$M82,AX$13))))</f>
        <v>0</v>
      </c>
      <c r="AY82" s="182">
        <f ca="1">IF($D82&lt;&gt;"Serviço",0,IF(OR(AND(AUTOEVENTO="Manual",$M82=1),$M82&gt;(ROW(PLE.lastrow)-ROW(PLE.firstrow))),0,IF(OFFSET(PLE!$G$14,$M82,AY$13)="",10^12,OFFSET(PLE!$G$14,$M82,AY$13))))</f>
        <v>0</v>
      </c>
      <c r="AZ82" s="182">
        <f ca="1">IF($D82&lt;&gt;"Serviço",0,IF(OR(AND(AUTOEVENTO="Manual",$M82=1),$M82&gt;(ROW(PLE.lastrow)-ROW(PLE.firstrow))),0,IF(OFFSET(PLE!$G$14,$M82,AZ$13)="",10^12,OFFSET(PLE!$G$14,$M82,AZ$13))))</f>
        <v>0</v>
      </c>
      <c r="BA82" s="182">
        <f ca="1">IF($D82&lt;&gt;"Serviço",0,IF(OR(AND(AUTOEVENTO="Manual",$M82=1),$M82&gt;(ROW(PLE.lastrow)-ROW(PLE.firstrow))),0,IF(OFFSET(PLE!$G$14,$M82,BA$13)="",10^12,OFFSET(PLE!$G$14,$M82,BA$13))))</f>
        <v>0</v>
      </c>
      <c r="BB82" s="182">
        <f ca="1">IF($D82&lt;&gt;"Serviço",0,IF(OR(AND(AUTOEVENTO="Manual",$M82=1),$M82&gt;(ROW(PLE.lastrow)-ROW(PLE.firstrow))),0,IF(OFFSET(PLE!$G$14,$M82,BB$13)="",10^12,OFFSET(PLE!$G$14,$M82,BB$13))))</f>
        <v>0</v>
      </c>
      <c r="BC82" s="182">
        <f ca="1">IF($D82&lt;&gt;"Serviço",0,IF(OR(AND(AUTOEVENTO="Manual",$M82=1),$M82&gt;(ROW(PLE.lastrow)-ROW(PLE.firstrow))),0,IF(OFFSET(PLE!$G$14,$M82,BC$13)="",10^12,OFFSET(PLE!$G$14,$M82,BC$13))))</f>
        <v>0</v>
      </c>
      <c r="BD82" s="182">
        <f ca="1">IF($D82&lt;&gt;"Serviço",0,IF(OR(AND(AUTOEVENTO="Manual",$M82=1),$M82&gt;(ROW(PLE.lastrow)-ROW(PLE.firstrow))),0,IF(OFFSET(PLE!$G$14,$M82,BD$13)="",10^12,OFFSET(PLE!$G$14,$M82,BD$13))))</f>
        <v>0</v>
      </c>
      <c r="BE82" s="182">
        <f ca="1">IF($D82&lt;&gt;"Serviço",0,IF(OR(AND(AUTOEVENTO="Manual",$M82=1),$M82&gt;(ROW(PLE.lastrow)-ROW(PLE.firstrow))),0,IF(OFFSET(PLE!$G$14,$M82,BE$13)="",10^12,OFFSET(PLE!$G$14,$M82,BE$13))))</f>
        <v>0</v>
      </c>
      <c r="BF82" s="182">
        <f ca="1">IF($D82&lt;&gt;"Serviço",0,IF(OR(AND(AUTOEVENTO="Manual",$M82=1),$M82&gt;(ROW(PLE.lastrow)-ROW(PLE.firstrow))),0,IF(OFFSET(PLE!$G$14,$M82,BF$13)="",10^12,OFFSET(PLE!$G$14,$M82,BF$13))))</f>
        <v>0</v>
      </c>
      <c r="BG82" s="182">
        <f ca="1">IF($D82&lt;&gt;"Serviço",0,IF(OR(AND(AUTOEVENTO="Manual",$M82=1),$M82&gt;(ROW(PLE.lastrow)-ROW(PLE.firstrow))),0,IF(OFFSET(PLE!$G$14,$M82,BG$13)="",10^12,OFFSET(PLE!$G$14,$M82,BG$13))))</f>
        <v>0</v>
      </c>
    </row>
    <row r="83" spans="1:59" ht="25.5" x14ac:dyDescent="0.2">
      <c r="A83" s="7" t="str">
        <f t="shared" ca="1" si="8"/>
        <v>67</v>
      </c>
      <c r="B83" s="7" t="str">
        <f ca="1">OFFSET(ORÇAMENTO!C$15,ROW(B83)-ROW(B$15),0)</f>
        <v>S</v>
      </c>
      <c r="C83" s="7" t="str">
        <f ca="1">OFFSET(ORÇAMENTO!L$15,ROW(C83)-ROW(C$15),0)</f>
        <v>F</v>
      </c>
      <c r="D83" s="118" t="str">
        <f ca="1">OFFSET(ORÇAMENTO!N$15,ROW(D83)-ROW(D$15),0)</f>
        <v>Serviço</v>
      </c>
      <c r="E83" s="119" t="str">
        <f ca="1">OFFSET(ORÇAMENTO!O$15,ROW(E83)-ROW(E$15),0)</f>
        <v>2.5.1.</v>
      </c>
      <c r="F83" s="172" t="str">
        <f ca="1">OFFSET(ORÇAMENTO!R$15,ROW(F83)-ROW(F$15),0)</f>
        <v>Placa de advertência em aço, lado de 0,60 m - película retrorrefletiva tipo I + SI - fornecimento e implantação</v>
      </c>
      <c r="G83" s="173" t="str">
        <f ca="1">IF($D83&lt;&gt;"Serviço","",OFFSET(ORÇAMENTO!S$15,ROW(G83)-ROW(G$15),0))</f>
        <v>un</v>
      </c>
      <c r="H83" s="124">
        <f ca="1">IF($D83&lt;&gt;"Serviço",0,IF(ACOMPANHAMENTO="BM",ROUND(OFFSET(ORÇAMENTO!AJ$15,ROW(H83)-ROW(H$15),0),15-13*ORÇAMENTO!$AF$7),SUMPRODUCT(($Q$12:$AA$12&lt;&gt;"")*ROUND($Q83:$AA83,15-13*ORÇAMENTO!$AF$7))))</f>
        <v>8</v>
      </c>
      <c r="I83" s="561"/>
      <c r="K83" s="174"/>
      <c r="L83" s="175" t="s">
        <v>255</v>
      </c>
      <c r="M83" s="176">
        <f ca="1">IF($D83&lt;&gt;"Serviço","",IF(AUTOEVENTO="manual",$A83,IF(ISERROR(MATCH($A83,$A$15:OFFSET($A83,-1,0),0)),MAX($M$15:OFFSET(M83,-1,0))+1,INDEX($M$15:OFFSET(M83,-1,0),MATCH($A83,$A$15:OFFSET($A83,-1,0),0)))))</f>
        <v>11</v>
      </c>
      <c r="N83" s="177" t="str">
        <f ca="1">IF($D83&lt;&gt;"Serviço","",IF(AUTOEVENTO="Manual",IF($A83=0,"&lt;-- defina o número do agrupador",OFFSET(EVENTOS!$D$14,$A83,0)),OFFSET($F$15,$A83,0)))</f>
        <v>SINALIZAÇÃO</v>
      </c>
      <c r="O83" s="178"/>
      <c r="Q83" s="178"/>
      <c r="R83" s="179"/>
      <c r="S83" s="179"/>
      <c r="T83" s="179"/>
      <c r="U83" s="179"/>
      <c r="V83" s="179"/>
      <c r="W83" s="179"/>
      <c r="X83" s="179"/>
      <c r="Y83" s="179"/>
      <c r="Z83" s="180"/>
      <c r="AB83" s="544">
        <f ca="1">IF(AND($D83="Serviço",AB$12&lt;&gt;0,$H83&gt;0,OR(AUTOEVENTO&lt;&gt;"manual",$M83&lt;&gt;1)), IF(Import.TipoArredondamento&lt;&gt;"TransfereGOV", ROUND(OFFSET($P83,0,AB$13),15-13*ORÇAMENTO!$AF$7)/$H83*OFFSET(ORÇAMENTO!$X$15,ROW(AB83)-ROW(AB$15),0), ROUND(ROUND(OFFSET($P83,0,AB$13),15-13*ORÇAMENTO!$AF$7)*OFFSET(ORÇAMENTO!$W$15,ROW(AB83)-ROW(AB$15),0),15-13*ORÇAMENTO!$AF$11)),0)</f>
        <v>0</v>
      </c>
      <c r="AC83" s="545">
        <f ca="1">IF(AND($D83="Serviço",AC$12&lt;&gt;0,$H83&gt;0,OR(AUTOEVENTO&lt;&gt;"manual",$M83&lt;&gt;1)), IF(Import.TipoArredondamento&lt;&gt;"TransfereGOV", ROUND(OFFSET($P83,0,AC$13),15-13*ORÇAMENTO!$AF$7)/$H83*OFFSET(ORÇAMENTO!$X$15,ROW(AC83)-ROW(AC$15),0), ROUND(ROUND(OFFSET($P83,0,AC$13),15-13*ORÇAMENTO!$AF$7)*OFFSET(ORÇAMENTO!$W$15,ROW(AC83)-ROW(AC$15),0),15-13*ORÇAMENTO!$AF$11)),0)</f>
        <v>0</v>
      </c>
      <c r="AD83" s="545">
        <f ca="1">IF(AND($D83="Serviço",AD$12&lt;&gt;0,$H83&gt;0,OR(AUTOEVENTO&lt;&gt;"manual",$M83&lt;&gt;1)), IF(Import.TipoArredondamento&lt;&gt;"TransfereGOV", ROUND(OFFSET($P83,0,AD$13),15-13*ORÇAMENTO!$AF$7)/$H83*OFFSET(ORÇAMENTO!$X$15,ROW(AD83)-ROW(AD$15),0), ROUND(ROUND(OFFSET($P83,0,AD$13),15-13*ORÇAMENTO!$AF$7)*OFFSET(ORÇAMENTO!$W$15,ROW(AD83)-ROW(AD$15),0),15-13*ORÇAMENTO!$AF$11)),0)</f>
        <v>0</v>
      </c>
      <c r="AE83" s="545">
        <f ca="1">IF(AND($D83="Serviço",AE$12&lt;&gt;0,$H83&gt;0,OR(AUTOEVENTO&lt;&gt;"manual",$M83&lt;&gt;1)), IF(Import.TipoArredondamento&lt;&gt;"TransfereGOV", ROUND(OFFSET($P83,0,AE$13),15-13*ORÇAMENTO!$AF$7)/$H83*OFFSET(ORÇAMENTO!$X$15,ROW(AE83)-ROW(AE$15),0), ROUND(ROUND(OFFSET($P83,0,AE$13),15-13*ORÇAMENTO!$AF$7)*OFFSET(ORÇAMENTO!$W$15,ROW(AE83)-ROW(AE$15),0),15-13*ORÇAMENTO!$AF$11)),0)</f>
        <v>0</v>
      </c>
      <c r="AF83" s="545">
        <f ca="1">IF(AND($D83="Serviço",AF$12&lt;&gt;0,$H83&gt;0,OR(AUTOEVENTO&lt;&gt;"manual",$M83&lt;&gt;1)), IF(Import.TipoArredondamento&lt;&gt;"TransfereGOV", ROUND(OFFSET($P83,0,AF$13),15-13*ORÇAMENTO!$AF$7)/$H83*OFFSET(ORÇAMENTO!$X$15,ROW(AF83)-ROW(AF$15),0), ROUND(ROUND(OFFSET($P83,0,AF$13),15-13*ORÇAMENTO!$AF$7)*OFFSET(ORÇAMENTO!$W$15,ROW(AF83)-ROW(AF$15),0),15-13*ORÇAMENTO!$AF$11)),0)</f>
        <v>0</v>
      </c>
      <c r="AG83" s="545">
        <f ca="1">IF(AND($D83="Serviço",AG$12&lt;&gt;0,$H83&gt;0,OR(AUTOEVENTO&lt;&gt;"manual",$M83&lt;&gt;1)), IF(Import.TipoArredondamento&lt;&gt;"TransfereGOV", ROUND(OFFSET($P83,0,AG$13),15-13*ORÇAMENTO!$AF$7)/$H83*OFFSET(ORÇAMENTO!$X$15,ROW(AG83)-ROW(AG$15),0), ROUND(ROUND(OFFSET($P83,0,AG$13),15-13*ORÇAMENTO!$AF$7)*OFFSET(ORÇAMENTO!$W$15,ROW(AG83)-ROW(AG$15),0),15-13*ORÇAMENTO!$AF$11)),0)</f>
        <v>0</v>
      </c>
      <c r="AH83" s="545">
        <f ca="1">IF(AND($D83="Serviço",AH$12&lt;&gt;0,$H83&gt;0,OR(AUTOEVENTO&lt;&gt;"manual",$M83&lt;&gt;1)), IF(Import.TipoArredondamento&lt;&gt;"TransfereGOV", ROUND(OFFSET($P83,0,AH$13),15-13*ORÇAMENTO!$AF$7)/$H83*OFFSET(ORÇAMENTO!$X$15,ROW(AH83)-ROW(AH$15),0), ROUND(ROUND(OFFSET($P83,0,AH$13),15-13*ORÇAMENTO!$AF$7)*OFFSET(ORÇAMENTO!$W$15,ROW(AH83)-ROW(AH$15),0),15-13*ORÇAMENTO!$AF$11)),0)</f>
        <v>0</v>
      </c>
      <c r="AI83" s="545">
        <f ca="1">IF(AND($D83="Serviço",AI$12&lt;&gt;0,$H83&gt;0,OR(AUTOEVENTO&lt;&gt;"manual",$M83&lt;&gt;1)), IF(Import.TipoArredondamento&lt;&gt;"TransfereGOV", ROUND(OFFSET($P83,0,AI$13),15-13*ORÇAMENTO!$AF$7)/$H83*OFFSET(ORÇAMENTO!$X$15,ROW(AI83)-ROW(AI$15),0), ROUND(ROUND(OFFSET($P83,0,AI$13),15-13*ORÇAMENTO!$AF$7)*OFFSET(ORÇAMENTO!$W$15,ROW(AI83)-ROW(AI$15),0),15-13*ORÇAMENTO!$AF$11)),0)</f>
        <v>0</v>
      </c>
      <c r="AJ83" s="545">
        <f ca="1">IF(AND($D83="Serviço",AJ$12&lt;&gt;0,$H83&gt;0,OR(AUTOEVENTO&lt;&gt;"manual",$M83&lt;&gt;1)), IF(Import.TipoArredondamento&lt;&gt;"TransfereGOV", ROUND(OFFSET($P83,0,AJ$13),15-13*ORÇAMENTO!$AF$7)/$H83*OFFSET(ORÇAMENTO!$X$15,ROW(AJ83)-ROW(AJ$15),0), ROUND(ROUND(OFFSET($P83,0,AJ$13),15-13*ORÇAMENTO!$AF$7)*OFFSET(ORÇAMENTO!$W$15,ROW(AJ83)-ROW(AJ$15),0),15-13*ORÇAMENTO!$AF$11)),0)</f>
        <v>0</v>
      </c>
      <c r="AK83" s="546">
        <f ca="1">IF(AND($D83="Serviço",AK$12&lt;&gt;0,$H83&gt;0,OR(AUTOEVENTO&lt;&gt;"manual",$M83&lt;&gt;1)), IF(Import.TipoArredondamento&lt;&gt;"TransfereGOV", ROUND(OFFSET($P83,0,AK$13),15-13*ORÇAMENTO!$AF$7)/$H83*OFFSET(ORÇAMENTO!$X$15,ROW(AK83)-ROW(AK$15),0), ROUND(ROUND(OFFSET($P83,0,AK$13),15-13*ORÇAMENTO!$AF$7)*OFFSET(ORÇAMENTO!$W$15,ROW(AK83)-ROW(AK$15),0),15-13*ORÇAMENTO!$AF$11)),0)</f>
        <v>0</v>
      </c>
      <c r="AM83" s="181">
        <f ca="1">IF($D83&lt;&gt;"Serviço",0,IF(AND(AUTOEVENTO="Manual",$M83=1),0,IF(OFFSET(CRONOPLE!$F$14,$M83,AM$13)="",10^12,OFFSET(CRONOPLE!$F$14,$M83,AM$13))))</f>
        <v>1000000000000</v>
      </c>
      <c r="AN83" s="181">
        <f ca="1">IF($D83&lt;&gt;"Serviço",0,IF(AND(AUTOEVENTO="Manual",$M83=1),0,IF(OFFSET(CRONOPLE!$F$14,$M83,AN$13)="",10^12,OFFSET(CRONOPLE!$F$14,$M83,AN$13))))</f>
        <v>1000000000000</v>
      </c>
      <c r="AO83" s="181">
        <f ca="1">IF($D83&lt;&gt;"Serviço",0,IF(AND(AUTOEVENTO="Manual",$M83=1),0,IF(OFFSET(CRONOPLE!$F$14,$M83,AO$13)="",10^12,OFFSET(CRONOPLE!$F$14,$M83,AO$13))))</f>
        <v>1000000000000</v>
      </c>
      <c r="AP83" s="181">
        <f ca="1">IF($D83&lt;&gt;"Serviço",0,IF(AND(AUTOEVENTO="Manual",$M83=1),0,IF(OFFSET(CRONOPLE!$F$14,$M83,AP$13)="",10^12,OFFSET(CRONOPLE!$F$14,$M83,AP$13))))</f>
        <v>1000000000000</v>
      </c>
      <c r="AQ83" s="181">
        <f ca="1">IF($D83&lt;&gt;"Serviço",0,IF(AND(AUTOEVENTO="Manual",$M83=1),0,IF(OFFSET(CRONOPLE!$F$14,$M83,AQ$13)="",10^12,OFFSET(CRONOPLE!$F$14,$M83,AQ$13))))</f>
        <v>1000000000000</v>
      </c>
      <c r="AR83" s="181">
        <f ca="1">IF($D83&lt;&gt;"Serviço",0,IF(AND(AUTOEVENTO="Manual",$M83=1),0,IF(OFFSET(CRONOPLE!$F$14,$M83,AR$13)="",10^12,OFFSET(CRONOPLE!$F$14,$M83,AR$13))))</f>
        <v>1000000000000</v>
      </c>
      <c r="AS83" s="181">
        <f ca="1">IF($D83&lt;&gt;"Serviço",0,IF(AND(AUTOEVENTO="Manual",$M83=1),0,IF(OFFSET(CRONOPLE!$F$14,$M83,AS$13)="",10^12,OFFSET(CRONOPLE!$F$14,$M83,AS$13))))</f>
        <v>1000000000000</v>
      </c>
      <c r="AT83" s="181">
        <f ca="1">IF($D83&lt;&gt;"Serviço",0,IF(AND(AUTOEVENTO="Manual",$M83=1),0,IF(OFFSET(CRONOPLE!$F$14,$M83,AT$13)="",10^12,OFFSET(CRONOPLE!$F$14,$M83,AT$13))))</f>
        <v>1000000000000</v>
      </c>
      <c r="AU83" s="181">
        <f ca="1">IF($D83&lt;&gt;"Serviço",0,IF(AND(AUTOEVENTO="Manual",$M83=1),0,IF(OFFSET(CRONOPLE!$F$14,$M83,AU$13)="",10^12,OFFSET(CRONOPLE!$F$14,$M83,AU$13))))</f>
        <v>1000000000000</v>
      </c>
      <c r="AV83" s="181">
        <f ca="1">IF($D83&lt;&gt;"Serviço",0,IF(AND(AUTOEVENTO="Manual",$M83=1),0,IF(OFFSET(CRONOPLE!$F$14,$M83,AV$13)="",10^12,OFFSET(CRONOPLE!$F$14,$M83,AV$13))))</f>
        <v>1000000000000</v>
      </c>
      <c r="AX83" s="182">
        <f ca="1">IF($D83&lt;&gt;"Serviço",0,IF(OR(AND(AUTOEVENTO="Manual",$M83=1),$M83&gt;(ROW(PLE.lastrow)-ROW(PLE.firstrow))),0,IF(OFFSET(PLE!$G$14,$M83,AX$13)="",10^12,OFFSET(PLE!$G$14,$M83,AX$13))))</f>
        <v>1000000000000</v>
      </c>
      <c r="AY83" s="182">
        <f ca="1">IF($D83&lt;&gt;"Serviço",0,IF(OR(AND(AUTOEVENTO="Manual",$M83=1),$M83&gt;(ROW(PLE.lastrow)-ROW(PLE.firstrow))),0,IF(OFFSET(PLE!$G$14,$M83,AY$13)="",10^12,OFFSET(PLE!$G$14,$M83,AY$13))))</f>
        <v>1000000000000</v>
      </c>
      <c r="AZ83" s="182">
        <f ca="1">IF($D83&lt;&gt;"Serviço",0,IF(OR(AND(AUTOEVENTO="Manual",$M83=1),$M83&gt;(ROW(PLE.lastrow)-ROW(PLE.firstrow))),0,IF(OFFSET(PLE!$G$14,$M83,AZ$13)="",10^12,OFFSET(PLE!$G$14,$M83,AZ$13))))</f>
        <v>1000000000000</v>
      </c>
      <c r="BA83" s="182">
        <f ca="1">IF($D83&lt;&gt;"Serviço",0,IF(OR(AND(AUTOEVENTO="Manual",$M83=1),$M83&gt;(ROW(PLE.lastrow)-ROW(PLE.firstrow))),0,IF(OFFSET(PLE!$G$14,$M83,BA$13)="",10^12,OFFSET(PLE!$G$14,$M83,BA$13))))</f>
        <v>1000000000000</v>
      </c>
      <c r="BB83" s="182">
        <f ca="1">IF($D83&lt;&gt;"Serviço",0,IF(OR(AND(AUTOEVENTO="Manual",$M83=1),$M83&gt;(ROW(PLE.lastrow)-ROW(PLE.firstrow))),0,IF(OFFSET(PLE!$G$14,$M83,BB$13)="",10^12,OFFSET(PLE!$G$14,$M83,BB$13))))</f>
        <v>1000000000000</v>
      </c>
      <c r="BC83" s="182">
        <f ca="1">IF($D83&lt;&gt;"Serviço",0,IF(OR(AND(AUTOEVENTO="Manual",$M83=1),$M83&gt;(ROW(PLE.lastrow)-ROW(PLE.firstrow))),0,IF(OFFSET(PLE!$G$14,$M83,BC$13)="",10^12,OFFSET(PLE!$G$14,$M83,BC$13))))</f>
        <v>1000000000000</v>
      </c>
      <c r="BD83" s="182">
        <f ca="1">IF($D83&lt;&gt;"Serviço",0,IF(OR(AND(AUTOEVENTO="Manual",$M83=1),$M83&gt;(ROW(PLE.lastrow)-ROW(PLE.firstrow))),0,IF(OFFSET(PLE!$G$14,$M83,BD$13)="",10^12,OFFSET(PLE!$G$14,$M83,BD$13))))</f>
        <v>1000000000000</v>
      </c>
      <c r="BE83" s="182">
        <f ca="1">IF($D83&lt;&gt;"Serviço",0,IF(OR(AND(AUTOEVENTO="Manual",$M83=1),$M83&gt;(ROW(PLE.lastrow)-ROW(PLE.firstrow))),0,IF(OFFSET(PLE!$G$14,$M83,BE$13)="",10^12,OFFSET(PLE!$G$14,$M83,BE$13))))</f>
        <v>1000000000000</v>
      </c>
      <c r="BF83" s="182">
        <f ca="1">IF($D83&lt;&gt;"Serviço",0,IF(OR(AND(AUTOEVENTO="Manual",$M83=1),$M83&gt;(ROW(PLE.lastrow)-ROW(PLE.firstrow))),0,IF(OFFSET(PLE!$G$14,$M83,BF$13)="",10^12,OFFSET(PLE!$G$14,$M83,BF$13))))</f>
        <v>1000000000000</v>
      </c>
      <c r="BG83" s="182">
        <f ca="1">IF($D83&lt;&gt;"Serviço",0,IF(OR(AND(AUTOEVENTO="Manual",$M83=1),$M83&gt;(ROW(PLE.lastrow)-ROW(PLE.firstrow))),0,IF(OFFSET(PLE!$G$14,$M83,BG$13)="",10^12,OFFSET(PLE!$G$14,$M83,BG$13))))</f>
        <v>1000000000000</v>
      </c>
    </row>
    <row r="84" spans="1:59" ht="25.5" x14ac:dyDescent="0.2">
      <c r="A84" s="7" t="str">
        <f t="shared" ca="1" si="8"/>
        <v>67</v>
      </c>
      <c r="B84" s="7" t="str">
        <f ca="1">OFFSET(ORÇAMENTO!C$15,ROW(B84)-ROW(B$15),0)</f>
        <v>S</v>
      </c>
      <c r="C84" s="7" t="str">
        <f ca="1">OFFSET(ORÇAMENTO!L$15,ROW(C84)-ROW(C$15),0)</f>
        <v>F</v>
      </c>
      <c r="D84" s="118" t="str">
        <f ca="1">OFFSET(ORÇAMENTO!N$15,ROW(D84)-ROW(D$15),0)</f>
        <v>Serviço</v>
      </c>
      <c r="E84" s="119" t="str">
        <f ca="1">OFFSET(ORÇAMENTO!O$15,ROW(E84)-ROW(E$15),0)</f>
        <v>2.5.2.</v>
      </c>
      <c r="F84" s="172" t="str">
        <f ca="1">OFFSET(ORÇAMENTO!R$15,ROW(F84)-ROW(F$15),0)</f>
        <v>Placa em aço nº 16 galvanizado com película retrorrefletiva tipo I + SI - confecção</v>
      </c>
      <c r="G84" s="173" t="str">
        <f ca="1">IF($D84&lt;&gt;"Serviço","",OFFSET(ORÇAMENTO!S$15,ROW(G84)-ROW(G$15),0))</f>
        <v>m²</v>
      </c>
      <c r="H84" s="124">
        <f ca="1">IF($D84&lt;&gt;"Serviço",0,IF(ACOMPANHAMENTO="BM",ROUND(OFFSET(ORÇAMENTO!AJ$15,ROW(H84)-ROW(H$15),0),15-13*ORÇAMENTO!$AF$7),SUMPRODUCT(($Q$12:$AA$12&lt;&gt;"")*ROUND($Q84:$AA84,15-13*ORÇAMENTO!$AF$7))))</f>
        <v>0.25</v>
      </c>
      <c r="I84" s="561"/>
      <c r="K84" s="174"/>
      <c r="L84" s="175" t="s">
        <v>255</v>
      </c>
      <c r="M84" s="176">
        <f ca="1">IF($D84&lt;&gt;"Serviço","",IF(AUTOEVENTO="manual",$A84,IF(ISERROR(MATCH($A84,$A$15:OFFSET($A84,-1,0),0)),MAX($M$15:OFFSET(M84,-1,0))+1,INDEX($M$15:OFFSET(M84,-1,0),MATCH($A84,$A$15:OFFSET($A84,-1,0),0)))))</f>
        <v>11</v>
      </c>
      <c r="N84" s="177" t="str">
        <f ca="1">IF($D84&lt;&gt;"Serviço","",IF(AUTOEVENTO="Manual",IF($A84=0,"&lt;-- defina o número do agrupador",OFFSET(EVENTOS!$D$14,$A84,0)),OFFSET($F$15,$A84,0)))</f>
        <v>SINALIZAÇÃO</v>
      </c>
      <c r="O84" s="178"/>
      <c r="Q84" s="178"/>
      <c r="R84" s="179"/>
      <c r="S84" s="179"/>
      <c r="T84" s="179"/>
      <c r="U84" s="179"/>
      <c r="V84" s="179"/>
      <c r="W84" s="179"/>
      <c r="X84" s="179"/>
      <c r="Y84" s="179"/>
      <c r="Z84" s="180"/>
      <c r="AB84" s="544">
        <f ca="1">IF(AND($D84="Serviço",AB$12&lt;&gt;0,$H84&gt;0,OR(AUTOEVENTO&lt;&gt;"manual",$M84&lt;&gt;1)), IF(Import.TipoArredondamento&lt;&gt;"TransfereGOV", ROUND(OFFSET($P84,0,AB$13),15-13*ORÇAMENTO!$AF$7)/$H84*OFFSET(ORÇAMENTO!$X$15,ROW(AB84)-ROW(AB$15),0), ROUND(ROUND(OFFSET($P84,0,AB$13),15-13*ORÇAMENTO!$AF$7)*OFFSET(ORÇAMENTO!$W$15,ROW(AB84)-ROW(AB$15),0),15-13*ORÇAMENTO!$AF$11)),0)</f>
        <v>0</v>
      </c>
      <c r="AC84" s="545">
        <f ca="1">IF(AND($D84="Serviço",AC$12&lt;&gt;0,$H84&gt;0,OR(AUTOEVENTO&lt;&gt;"manual",$M84&lt;&gt;1)), IF(Import.TipoArredondamento&lt;&gt;"TransfereGOV", ROUND(OFFSET($P84,0,AC$13),15-13*ORÇAMENTO!$AF$7)/$H84*OFFSET(ORÇAMENTO!$X$15,ROW(AC84)-ROW(AC$15),0), ROUND(ROUND(OFFSET($P84,0,AC$13),15-13*ORÇAMENTO!$AF$7)*OFFSET(ORÇAMENTO!$W$15,ROW(AC84)-ROW(AC$15),0),15-13*ORÇAMENTO!$AF$11)),0)</f>
        <v>0</v>
      </c>
      <c r="AD84" s="545">
        <f ca="1">IF(AND($D84="Serviço",AD$12&lt;&gt;0,$H84&gt;0,OR(AUTOEVENTO&lt;&gt;"manual",$M84&lt;&gt;1)), IF(Import.TipoArredondamento&lt;&gt;"TransfereGOV", ROUND(OFFSET($P84,0,AD$13),15-13*ORÇAMENTO!$AF$7)/$H84*OFFSET(ORÇAMENTO!$X$15,ROW(AD84)-ROW(AD$15),0), ROUND(ROUND(OFFSET($P84,0,AD$13),15-13*ORÇAMENTO!$AF$7)*OFFSET(ORÇAMENTO!$W$15,ROW(AD84)-ROW(AD$15),0),15-13*ORÇAMENTO!$AF$11)),0)</f>
        <v>0</v>
      </c>
      <c r="AE84" s="545">
        <f ca="1">IF(AND($D84="Serviço",AE$12&lt;&gt;0,$H84&gt;0,OR(AUTOEVENTO&lt;&gt;"manual",$M84&lt;&gt;1)), IF(Import.TipoArredondamento&lt;&gt;"TransfereGOV", ROUND(OFFSET($P84,0,AE$13),15-13*ORÇAMENTO!$AF$7)/$H84*OFFSET(ORÇAMENTO!$X$15,ROW(AE84)-ROW(AE$15),0), ROUND(ROUND(OFFSET($P84,0,AE$13),15-13*ORÇAMENTO!$AF$7)*OFFSET(ORÇAMENTO!$W$15,ROW(AE84)-ROW(AE$15),0),15-13*ORÇAMENTO!$AF$11)),0)</f>
        <v>0</v>
      </c>
      <c r="AF84" s="545">
        <f ca="1">IF(AND($D84="Serviço",AF$12&lt;&gt;0,$H84&gt;0,OR(AUTOEVENTO&lt;&gt;"manual",$M84&lt;&gt;1)), IF(Import.TipoArredondamento&lt;&gt;"TransfereGOV", ROUND(OFFSET($P84,0,AF$13),15-13*ORÇAMENTO!$AF$7)/$H84*OFFSET(ORÇAMENTO!$X$15,ROW(AF84)-ROW(AF$15),0), ROUND(ROUND(OFFSET($P84,0,AF$13),15-13*ORÇAMENTO!$AF$7)*OFFSET(ORÇAMENTO!$W$15,ROW(AF84)-ROW(AF$15),0),15-13*ORÇAMENTO!$AF$11)),0)</f>
        <v>0</v>
      </c>
      <c r="AG84" s="545">
        <f ca="1">IF(AND($D84="Serviço",AG$12&lt;&gt;0,$H84&gt;0,OR(AUTOEVENTO&lt;&gt;"manual",$M84&lt;&gt;1)), IF(Import.TipoArredondamento&lt;&gt;"TransfereGOV", ROUND(OFFSET($P84,0,AG$13),15-13*ORÇAMENTO!$AF$7)/$H84*OFFSET(ORÇAMENTO!$X$15,ROW(AG84)-ROW(AG$15),0), ROUND(ROUND(OFFSET($P84,0,AG$13),15-13*ORÇAMENTO!$AF$7)*OFFSET(ORÇAMENTO!$W$15,ROW(AG84)-ROW(AG$15),0),15-13*ORÇAMENTO!$AF$11)),0)</f>
        <v>0</v>
      </c>
      <c r="AH84" s="545">
        <f ca="1">IF(AND($D84="Serviço",AH$12&lt;&gt;0,$H84&gt;0,OR(AUTOEVENTO&lt;&gt;"manual",$M84&lt;&gt;1)), IF(Import.TipoArredondamento&lt;&gt;"TransfereGOV", ROUND(OFFSET($P84,0,AH$13),15-13*ORÇAMENTO!$AF$7)/$H84*OFFSET(ORÇAMENTO!$X$15,ROW(AH84)-ROW(AH$15),0), ROUND(ROUND(OFFSET($P84,0,AH$13),15-13*ORÇAMENTO!$AF$7)*OFFSET(ORÇAMENTO!$W$15,ROW(AH84)-ROW(AH$15),0),15-13*ORÇAMENTO!$AF$11)),0)</f>
        <v>0</v>
      </c>
      <c r="AI84" s="545">
        <f ca="1">IF(AND($D84="Serviço",AI$12&lt;&gt;0,$H84&gt;0,OR(AUTOEVENTO&lt;&gt;"manual",$M84&lt;&gt;1)), IF(Import.TipoArredondamento&lt;&gt;"TransfereGOV", ROUND(OFFSET($P84,0,AI$13),15-13*ORÇAMENTO!$AF$7)/$H84*OFFSET(ORÇAMENTO!$X$15,ROW(AI84)-ROW(AI$15),0), ROUND(ROUND(OFFSET($P84,0,AI$13),15-13*ORÇAMENTO!$AF$7)*OFFSET(ORÇAMENTO!$W$15,ROW(AI84)-ROW(AI$15),0),15-13*ORÇAMENTO!$AF$11)),0)</f>
        <v>0</v>
      </c>
      <c r="AJ84" s="545">
        <f ca="1">IF(AND($D84="Serviço",AJ$12&lt;&gt;0,$H84&gt;0,OR(AUTOEVENTO&lt;&gt;"manual",$M84&lt;&gt;1)), IF(Import.TipoArredondamento&lt;&gt;"TransfereGOV", ROUND(OFFSET($P84,0,AJ$13),15-13*ORÇAMENTO!$AF$7)/$H84*OFFSET(ORÇAMENTO!$X$15,ROW(AJ84)-ROW(AJ$15),0), ROUND(ROUND(OFFSET($P84,0,AJ$13),15-13*ORÇAMENTO!$AF$7)*OFFSET(ORÇAMENTO!$W$15,ROW(AJ84)-ROW(AJ$15),0),15-13*ORÇAMENTO!$AF$11)),0)</f>
        <v>0</v>
      </c>
      <c r="AK84" s="546">
        <f ca="1">IF(AND($D84="Serviço",AK$12&lt;&gt;0,$H84&gt;0,OR(AUTOEVENTO&lt;&gt;"manual",$M84&lt;&gt;1)), IF(Import.TipoArredondamento&lt;&gt;"TransfereGOV", ROUND(OFFSET($P84,0,AK$13),15-13*ORÇAMENTO!$AF$7)/$H84*OFFSET(ORÇAMENTO!$X$15,ROW(AK84)-ROW(AK$15),0), ROUND(ROUND(OFFSET($P84,0,AK$13),15-13*ORÇAMENTO!$AF$7)*OFFSET(ORÇAMENTO!$W$15,ROW(AK84)-ROW(AK$15),0),15-13*ORÇAMENTO!$AF$11)),0)</f>
        <v>0</v>
      </c>
      <c r="AM84" s="181">
        <f ca="1">IF($D84&lt;&gt;"Serviço",0,IF(AND(AUTOEVENTO="Manual",$M84=1),0,IF(OFFSET(CRONOPLE!$F$14,$M84,AM$13)="",10^12,OFFSET(CRONOPLE!$F$14,$M84,AM$13))))</f>
        <v>1000000000000</v>
      </c>
      <c r="AN84" s="181">
        <f ca="1">IF($D84&lt;&gt;"Serviço",0,IF(AND(AUTOEVENTO="Manual",$M84=1),0,IF(OFFSET(CRONOPLE!$F$14,$M84,AN$13)="",10^12,OFFSET(CRONOPLE!$F$14,$M84,AN$13))))</f>
        <v>1000000000000</v>
      </c>
      <c r="AO84" s="181">
        <f ca="1">IF($D84&lt;&gt;"Serviço",0,IF(AND(AUTOEVENTO="Manual",$M84=1),0,IF(OFFSET(CRONOPLE!$F$14,$M84,AO$13)="",10^12,OFFSET(CRONOPLE!$F$14,$M84,AO$13))))</f>
        <v>1000000000000</v>
      </c>
      <c r="AP84" s="181">
        <f ca="1">IF($D84&lt;&gt;"Serviço",0,IF(AND(AUTOEVENTO="Manual",$M84=1),0,IF(OFFSET(CRONOPLE!$F$14,$M84,AP$13)="",10^12,OFFSET(CRONOPLE!$F$14,$M84,AP$13))))</f>
        <v>1000000000000</v>
      </c>
      <c r="AQ84" s="181">
        <f ca="1">IF($D84&lt;&gt;"Serviço",0,IF(AND(AUTOEVENTO="Manual",$M84=1),0,IF(OFFSET(CRONOPLE!$F$14,$M84,AQ$13)="",10^12,OFFSET(CRONOPLE!$F$14,$M84,AQ$13))))</f>
        <v>1000000000000</v>
      </c>
      <c r="AR84" s="181">
        <f ca="1">IF($D84&lt;&gt;"Serviço",0,IF(AND(AUTOEVENTO="Manual",$M84=1),0,IF(OFFSET(CRONOPLE!$F$14,$M84,AR$13)="",10^12,OFFSET(CRONOPLE!$F$14,$M84,AR$13))))</f>
        <v>1000000000000</v>
      </c>
      <c r="AS84" s="181">
        <f ca="1">IF($D84&lt;&gt;"Serviço",0,IF(AND(AUTOEVENTO="Manual",$M84=1),0,IF(OFFSET(CRONOPLE!$F$14,$M84,AS$13)="",10^12,OFFSET(CRONOPLE!$F$14,$M84,AS$13))))</f>
        <v>1000000000000</v>
      </c>
      <c r="AT84" s="181">
        <f ca="1">IF($D84&lt;&gt;"Serviço",0,IF(AND(AUTOEVENTO="Manual",$M84=1),0,IF(OFFSET(CRONOPLE!$F$14,$M84,AT$13)="",10^12,OFFSET(CRONOPLE!$F$14,$M84,AT$13))))</f>
        <v>1000000000000</v>
      </c>
      <c r="AU84" s="181">
        <f ca="1">IF($D84&lt;&gt;"Serviço",0,IF(AND(AUTOEVENTO="Manual",$M84=1),0,IF(OFFSET(CRONOPLE!$F$14,$M84,AU$13)="",10^12,OFFSET(CRONOPLE!$F$14,$M84,AU$13))))</f>
        <v>1000000000000</v>
      </c>
      <c r="AV84" s="181">
        <f ca="1">IF($D84&lt;&gt;"Serviço",0,IF(AND(AUTOEVENTO="Manual",$M84=1),0,IF(OFFSET(CRONOPLE!$F$14,$M84,AV$13)="",10^12,OFFSET(CRONOPLE!$F$14,$M84,AV$13))))</f>
        <v>1000000000000</v>
      </c>
      <c r="AX84" s="182">
        <f ca="1">IF($D84&lt;&gt;"Serviço",0,IF(OR(AND(AUTOEVENTO="Manual",$M84=1),$M84&gt;(ROW(PLE.lastrow)-ROW(PLE.firstrow))),0,IF(OFFSET(PLE!$G$14,$M84,AX$13)="",10^12,OFFSET(PLE!$G$14,$M84,AX$13))))</f>
        <v>1000000000000</v>
      </c>
      <c r="AY84" s="182">
        <f ca="1">IF($D84&lt;&gt;"Serviço",0,IF(OR(AND(AUTOEVENTO="Manual",$M84=1),$M84&gt;(ROW(PLE.lastrow)-ROW(PLE.firstrow))),0,IF(OFFSET(PLE!$G$14,$M84,AY$13)="",10^12,OFFSET(PLE!$G$14,$M84,AY$13))))</f>
        <v>1000000000000</v>
      </c>
      <c r="AZ84" s="182">
        <f ca="1">IF($D84&lt;&gt;"Serviço",0,IF(OR(AND(AUTOEVENTO="Manual",$M84=1),$M84&gt;(ROW(PLE.lastrow)-ROW(PLE.firstrow))),0,IF(OFFSET(PLE!$G$14,$M84,AZ$13)="",10^12,OFFSET(PLE!$G$14,$M84,AZ$13))))</f>
        <v>1000000000000</v>
      </c>
      <c r="BA84" s="182">
        <f ca="1">IF($D84&lt;&gt;"Serviço",0,IF(OR(AND(AUTOEVENTO="Manual",$M84=1),$M84&gt;(ROW(PLE.lastrow)-ROW(PLE.firstrow))),0,IF(OFFSET(PLE!$G$14,$M84,BA$13)="",10^12,OFFSET(PLE!$G$14,$M84,BA$13))))</f>
        <v>1000000000000</v>
      </c>
      <c r="BB84" s="182">
        <f ca="1">IF($D84&lt;&gt;"Serviço",0,IF(OR(AND(AUTOEVENTO="Manual",$M84=1),$M84&gt;(ROW(PLE.lastrow)-ROW(PLE.firstrow))),0,IF(OFFSET(PLE!$G$14,$M84,BB$13)="",10^12,OFFSET(PLE!$G$14,$M84,BB$13))))</f>
        <v>1000000000000</v>
      </c>
      <c r="BC84" s="182">
        <f ca="1">IF($D84&lt;&gt;"Serviço",0,IF(OR(AND(AUTOEVENTO="Manual",$M84=1),$M84&gt;(ROW(PLE.lastrow)-ROW(PLE.firstrow))),0,IF(OFFSET(PLE!$G$14,$M84,BC$13)="",10^12,OFFSET(PLE!$G$14,$M84,BC$13))))</f>
        <v>1000000000000</v>
      </c>
      <c r="BD84" s="182">
        <f ca="1">IF($D84&lt;&gt;"Serviço",0,IF(OR(AND(AUTOEVENTO="Manual",$M84=1),$M84&gt;(ROW(PLE.lastrow)-ROW(PLE.firstrow))),0,IF(OFFSET(PLE!$G$14,$M84,BD$13)="",10^12,OFFSET(PLE!$G$14,$M84,BD$13))))</f>
        <v>1000000000000</v>
      </c>
      <c r="BE84" s="182">
        <f ca="1">IF($D84&lt;&gt;"Serviço",0,IF(OR(AND(AUTOEVENTO="Manual",$M84=1),$M84&gt;(ROW(PLE.lastrow)-ROW(PLE.firstrow))),0,IF(OFFSET(PLE!$G$14,$M84,BE$13)="",10^12,OFFSET(PLE!$G$14,$M84,BE$13))))</f>
        <v>1000000000000</v>
      </c>
      <c r="BF84" s="182">
        <f ca="1">IF($D84&lt;&gt;"Serviço",0,IF(OR(AND(AUTOEVENTO="Manual",$M84=1),$M84&gt;(ROW(PLE.lastrow)-ROW(PLE.firstrow))),0,IF(OFFSET(PLE!$G$14,$M84,BF$13)="",10^12,OFFSET(PLE!$G$14,$M84,BF$13))))</f>
        <v>1000000000000</v>
      </c>
      <c r="BG84" s="182">
        <f ca="1">IF($D84&lt;&gt;"Serviço",0,IF(OR(AND(AUTOEVENTO="Manual",$M84=1),$M84&gt;(ROW(PLE.lastrow)-ROW(PLE.firstrow))),0,IF(OFFSET(PLE!$G$14,$M84,BG$13)="",10^12,OFFSET(PLE!$G$14,$M84,BG$13))))</f>
        <v>1000000000000</v>
      </c>
    </row>
    <row r="85" spans="1:59" ht="25.5" x14ac:dyDescent="0.2">
      <c r="A85" s="7" t="str">
        <f t="shared" ca="1" si="8"/>
        <v>67</v>
      </c>
      <c r="B85" s="7" t="str">
        <f ca="1">OFFSET(ORÇAMENTO!C$15,ROW(B85)-ROW(B$15),0)</f>
        <v>S</v>
      </c>
      <c r="C85" s="7" t="str">
        <f ca="1">OFFSET(ORÇAMENTO!L$15,ROW(C85)-ROW(C$15),0)</f>
        <v>F</v>
      </c>
      <c r="D85" s="118" t="str">
        <f ca="1">OFFSET(ORÇAMENTO!N$15,ROW(D85)-ROW(D$15),0)</f>
        <v>Serviço</v>
      </c>
      <c r="E85" s="119" t="str">
        <f ca="1">OFFSET(ORÇAMENTO!O$15,ROW(E85)-ROW(E$15),0)</f>
        <v>2.5.3.</v>
      </c>
      <c r="F85" s="172" t="str">
        <f ca="1">OFFSET(ORÇAMENTO!R$15,ROW(F85)-ROW(F$15),0)</f>
        <v>Suporte metálico galvanizado para placa de advertência ou regulamentação - lado ou diâmetro de 0,60 m - fornecimento e implantação</v>
      </c>
      <c r="G85" s="173" t="str">
        <f ca="1">IF($D85&lt;&gt;"Serviço","",OFFSET(ORÇAMENTO!S$15,ROW(G85)-ROW(G$15),0))</f>
        <v>un</v>
      </c>
      <c r="H85" s="124">
        <f ca="1">IF($D85&lt;&gt;"Serviço",0,IF(ACOMPANHAMENTO="BM",ROUND(OFFSET(ORÇAMENTO!AJ$15,ROW(H85)-ROW(H$15),0),15-13*ORÇAMENTO!$AF$7),SUMPRODUCT(($Q$12:$AA$12&lt;&gt;"")*ROUND($Q85:$AA85,15-13*ORÇAMENTO!$AF$7))))</f>
        <v>9</v>
      </c>
      <c r="I85" s="561"/>
      <c r="K85" s="174"/>
      <c r="L85" s="175" t="s">
        <v>255</v>
      </c>
      <c r="M85" s="176">
        <f ca="1">IF($D85&lt;&gt;"Serviço","",IF(AUTOEVENTO="manual",$A85,IF(ISERROR(MATCH($A85,$A$15:OFFSET($A85,-1,0),0)),MAX($M$15:OFFSET(M85,-1,0))+1,INDEX($M$15:OFFSET(M85,-1,0),MATCH($A85,$A$15:OFFSET($A85,-1,0),0)))))</f>
        <v>11</v>
      </c>
      <c r="N85" s="177" t="str">
        <f ca="1">IF($D85&lt;&gt;"Serviço","",IF(AUTOEVENTO="Manual",IF($A85=0,"&lt;-- defina o número do agrupador",OFFSET(EVENTOS!$D$14,$A85,0)),OFFSET($F$15,$A85,0)))</f>
        <v>SINALIZAÇÃO</v>
      </c>
      <c r="O85" s="178"/>
      <c r="Q85" s="178"/>
      <c r="R85" s="179"/>
      <c r="S85" s="179"/>
      <c r="T85" s="179"/>
      <c r="U85" s="179"/>
      <c r="V85" s="179"/>
      <c r="W85" s="179"/>
      <c r="X85" s="179"/>
      <c r="Y85" s="179"/>
      <c r="Z85" s="180"/>
      <c r="AB85" s="544">
        <f ca="1">IF(AND($D85="Serviço",AB$12&lt;&gt;0,$H85&gt;0,OR(AUTOEVENTO&lt;&gt;"manual",$M85&lt;&gt;1)), IF(Import.TipoArredondamento&lt;&gt;"TransfereGOV", ROUND(OFFSET($P85,0,AB$13),15-13*ORÇAMENTO!$AF$7)/$H85*OFFSET(ORÇAMENTO!$X$15,ROW(AB85)-ROW(AB$15),0), ROUND(ROUND(OFFSET($P85,0,AB$13),15-13*ORÇAMENTO!$AF$7)*OFFSET(ORÇAMENTO!$W$15,ROW(AB85)-ROW(AB$15),0),15-13*ORÇAMENTO!$AF$11)),0)</f>
        <v>0</v>
      </c>
      <c r="AC85" s="545">
        <f ca="1">IF(AND($D85="Serviço",AC$12&lt;&gt;0,$H85&gt;0,OR(AUTOEVENTO&lt;&gt;"manual",$M85&lt;&gt;1)), IF(Import.TipoArredondamento&lt;&gt;"TransfereGOV", ROUND(OFFSET($P85,0,AC$13),15-13*ORÇAMENTO!$AF$7)/$H85*OFFSET(ORÇAMENTO!$X$15,ROW(AC85)-ROW(AC$15),0), ROUND(ROUND(OFFSET($P85,0,AC$13),15-13*ORÇAMENTO!$AF$7)*OFFSET(ORÇAMENTO!$W$15,ROW(AC85)-ROW(AC$15),0),15-13*ORÇAMENTO!$AF$11)),0)</f>
        <v>0</v>
      </c>
      <c r="AD85" s="545">
        <f ca="1">IF(AND($D85="Serviço",AD$12&lt;&gt;0,$H85&gt;0,OR(AUTOEVENTO&lt;&gt;"manual",$M85&lt;&gt;1)), IF(Import.TipoArredondamento&lt;&gt;"TransfereGOV", ROUND(OFFSET($P85,0,AD$13),15-13*ORÇAMENTO!$AF$7)/$H85*OFFSET(ORÇAMENTO!$X$15,ROW(AD85)-ROW(AD$15),0), ROUND(ROUND(OFFSET($P85,0,AD$13),15-13*ORÇAMENTO!$AF$7)*OFFSET(ORÇAMENTO!$W$15,ROW(AD85)-ROW(AD$15),0),15-13*ORÇAMENTO!$AF$11)),0)</f>
        <v>0</v>
      </c>
      <c r="AE85" s="545">
        <f ca="1">IF(AND($D85="Serviço",AE$12&lt;&gt;0,$H85&gt;0,OR(AUTOEVENTO&lt;&gt;"manual",$M85&lt;&gt;1)), IF(Import.TipoArredondamento&lt;&gt;"TransfereGOV", ROUND(OFFSET($P85,0,AE$13),15-13*ORÇAMENTO!$AF$7)/$H85*OFFSET(ORÇAMENTO!$X$15,ROW(AE85)-ROW(AE$15),0), ROUND(ROUND(OFFSET($P85,0,AE$13),15-13*ORÇAMENTO!$AF$7)*OFFSET(ORÇAMENTO!$W$15,ROW(AE85)-ROW(AE$15),0),15-13*ORÇAMENTO!$AF$11)),0)</f>
        <v>0</v>
      </c>
      <c r="AF85" s="545">
        <f ca="1">IF(AND($D85="Serviço",AF$12&lt;&gt;0,$H85&gt;0,OR(AUTOEVENTO&lt;&gt;"manual",$M85&lt;&gt;1)), IF(Import.TipoArredondamento&lt;&gt;"TransfereGOV", ROUND(OFFSET($P85,0,AF$13),15-13*ORÇAMENTO!$AF$7)/$H85*OFFSET(ORÇAMENTO!$X$15,ROW(AF85)-ROW(AF$15),0), ROUND(ROUND(OFFSET($P85,0,AF$13),15-13*ORÇAMENTO!$AF$7)*OFFSET(ORÇAMENTO!$W$15,ROW(AF85)-ROW(AF$15),0),15-13*ORÇAMENTO!$AF$11)),0)</f>
        <v>0</v>
      </c>
      <c r="AG85" s="545">
        <f ca="1">IF(AND($D85="Serviço",AG$12&lt;&gt;0,$H85&gt;0,OR(AUTOEVENTO&lt;&gt;"manual",$M85&lt;&gt;1)), IF(Import.TipoArredondamento&lt;&gt;"TransfereGOV", ROUND(OFFSET($P85,0,AG$13),15-13*ORÇAMENTO!$AF$7)/$H85*OFFSET(ORÇAMENTO!$X$15,ROW(AG85)-ROW(AG$15),0), ROUND(ROUND(OFFSET($P85,0,AG$13),15-13*ORÇAMENTO!$AF$7)*OFFSET(ORÇAMENTO!$W$15,ROW(AG85)-ROW(AG$15),0),15-13*ORÇAMENTO!$AF$11)),0)</f>
        <v>0</v>
      </c>
      <c r="AH85" s="545">
        <f ca="1">IF(AND($D85="Serviço",AH$12&lt;&gt;0,$H85&gt;0,OR(AUTOEVENTO&lt;&gt;"manual",$M85&lt;&gt;1)), IF(Import.TipoArredondamento&lt;&gt;"TransfereGOV", ROUND(OFFSET($P85,0,AH$13),15-13*ORÇAMENTO!$AF$7)/$H85*OFFSET(ORÇAMENTO!$X$15,ROW(AH85)-ROW(AH$15),0), ROUND(ROUND(OFFSET($P85,0,AH$13),15-13*ORÇAMENTO!$AF$7)*OFFSET(ORÇAMENTO!$W$15,ROW(AH85)-ROW(AH$15),0),15-13*ORÇAMENTO!$AF$11)),0)</f>
        <v>0</v>
      </c>
      <c r="AI85" s="545">
        <f ca="1">IF(AND($D85="Serviço",AI$12&lt;&gt;0,$H85&gt;0,OR(AUTOEVENTO&lt;&gt;"manual",$M85&lt;&gt;1)), IF(Import.TipoArredondamento&lt;&gt;"TransfereGOV", ROUND(OFFSET($P85,0,AI$13),15-13*ORÇAMENTO!$AF$7)/$H85*OFFSET(ORÇAMENTO!$X$15,ROW(AI85)-ROW(AI$15),0), ROUND(ROUND(OFFSET($P85,0,AI$13),15-13*ORÇAMENTO!$AF$7)*OFFSET(ORÇAMENTO!$W$15,ROW(AI85)-ROW(AI$15),0),15-13*ORÇAMENTO!$AF$11)),0)</f>
        <v>0</v>
      </c>
      <c r="AJ85" s="545">
        <f ca="1">IF(AND($D85="Serviço",AJ$12&lt;&gt;0,$H85&gt;0,OR(AUTOEVENTO&lt;&gt;"manual",$M85&lt;&gt;1)), IF(Import.TipoArredondamento&lt;&gt;"TransfereGOV", ROUND(OFFSET($P85,0,AJ$13),15-13*ORÇAMENTO!$AF$7)/$H85*OFFSET(ORÇAMENTO!$X$15,ROW(AJ85)-ROW(AJ$15),0), ROUND(ROUND(OFFSET($P85,0,AJ$13),15-13*ORÇAMENTO!$AF$7)*OFFSET(ORÇAMENTO!$W$15,ROW(AJ85)-ROW(AJ$15),0),15-13*ORÇAMENTO!$AF$11)),0)</f>
        <v>0</v>
      </c>
      <c r="AK85" s="546">
        <f ca="1">IF(AND($D85="Serviço",AK$12&lt;&gt;0,$H85&gt;0,OR(AUTOEVENTO&lt;&gt;"manual",$M85&lt;&gt;1)), IF(Import.TipoArredondamento&lt;&gt;"TransfereGOV", ROUND(OFFSET($P85,0,AK$13),15-13*ORÇAMENTO!$AF$7)/$H85*OFFSET(ORÇAMENTO!$X$15,ROW(AK85)-ROW(AK$15),0), ROUND(ROUND(OFFSET($P85,0,AK$13),15-13*ORÇAMENTO!$AF$7)*OFFSET(ORÇAMENTO!$W$15,ROW(AK85)-ROW(AK$15),0),15-13*ORÇAMENTO!$AF$11)),0)</f>
        <v>0</v>
      </c>
      <c r="AM85" s="181">
        <f ca="1">IF($D85&lt;&gt;"Serviço",0,IF(AND(AUTOEVENTO="Manual",$M85=1),0,IF(OFFSET(CRONOPLE!$F$14,$M85,AM$13)="",10^12,OFFSET(CRONOPLE!$F$14,$M85,AM$13))))</f>
        <v>1000000000000</v>
      </c>
      <c r="AN85" s="181">
        <f ca="1">IF($D85&lt;&gt;"Serviço",0,IF(AND(AUTOEVENTO="Manual",$M85=1),0,IF(OFFSET(CRONOPLE!$F$14,$M85,AN$13)="",10^12,OFFSET(CRONOPLE!$F$14,$M85,AN$13))))</f>
        <v>1000000000000</v>
      </c>
      <c r="AO85" s="181">
        <f ca="1">IF($D85&lt;&gt;"Serviço",0,IF(AND(AUTOEVENTO="Manual",$M85=1),0,IF(OFFSET(CRONOPLE!$F$14,$M85,AO$13)="",10^12,OFFSET(CRONOPLE!$F$14,$M85,AO$13))))</f>
        <v>1000000000000</v>
      </c>
      <c r="AP85" s="181">
        <f ca="1">IF($D85&lt;&gt;"Serviço",0,IF(AND(AUTOEVENTO="Manual",$M85=1),0,IF(OFFSET(CRONOPLE!$F$14,$M85,AP$13)="",10^12,OFFSET(CRONOPLE!$F$14,$M85,AP$13))))</f>
        <v>1000000000000</v>
      </c>
      <c r="AQ85" s="181">
        <f ca="1">IF($D85&lt;&gt;"Serviço",0,IF(AND(AUTOEVENTO="Manual",$M85=1),0,IF(OFFSET(CRONOPLE!$F$14,$M85,AQ$13)="",10^12,OFFSET(CRONOPLE!$F$14,$M85,AQ$13))))</f>
        <v>1000000000000</v>
      </c>
      <c r="AR85" s="181">
        <f ca="1">IF($D85&lt;&gt;"Serviço",0,IF(AND(AUTOEVENTO="Manual",$M85=1),0,IF(OFFSET(CRONOPLE!$F$14,$M85,AR$13)="",10^12,OFFSET(CRONOPLE!$F$14,$M85,AR$13))))</f>
        <v>1000000000000</v>
      </c>
      <c r="AS85" s="181">
        <f ca="1">IF($D85&lt;&gt;"Serviço",0,IF(AND(AUTOEVENTO="Manual",$M85=1),0,IF(OFFSET(CRONOPLE!$F$14,$M85,AS$13)="",10^12,OFFSET(CRONOPLE!$F$14,$M85,AS$13))))</f>
        <v>1000000000000</v>
      </c>
      <c r="AT85" s="181">
        <f ca="1">IF($D85&lt;&gt;"Serviço",0,IF(AND(AUTOEVENTO="Manual",$M85=1),0,IF(OFFSET(CRONOPLE!$F$14,$M85,AT$13)="",10^12,OFFSET(CRONOPLE!$F$14,$M85,AT$13))))</f>
        <v>1000000000000</v>
      </c>
      <c r="AU85" s="181">
        <f ca="1">IF($D85&lt;&gt;"Serviço",0,IF(AND(AUTOEVENTO="Manual",$M85=1),0,IF(OFFSET(CRONOPLE!$F$14,$M85,AU$13)="",10^12,OFFSET(CRONOPLE!$F$14,$M85,AU$13))))</f>
        <v>1000000000000</v>
      </c>
      <c r="AV85" s="181">
        <f ca="1">IF($D85&lt;&gt;"Serviço",0,IF(AND(AUTOEVENTO="Manual",$M85=1),0,IF(OFFSET(CRONOPLE!$F$14,$M85,AV$13)="",10^12,OFFSET(CRONOPLE!$F$14,$M85,AV$13))))</f>
        <v>1000000000000</v>
      </c>
      <c r="AX85" s="182">
        <f ca="1">IF($D85&lt;&gt;"Serviço",0,IF(OR(AND(AUTOEVENTO="Manual",$M85=1),$M85&gt;(ROW(PLE.lastrow)-ROW(PLE.firstrow))),0,IF(OFFSET(PLE!$G$14,$M85,AX$13)="",10^12,OFFSET(PLE!$G$14,$M85,AX$13))))</f>
        <v>1000000000000</v>
      </c>
      <c r="AY85" s="182">
        <f ca="1">IF($D85&lt;&gt;"Serviço",0,IF(OR(AND(AUTOEVENTO="Manual",$M85=1),$M85&gt;(ROW(PLE.lastrow)-ROW(PLE.firstrow))),0,IF(OFFSET(PLE!$G$14,$M85,AY$13)="",10^12,OFFSET(PLE!$G$14,$M85,AY$13))))</f>
        <v>1000000000000</v>
      </c>
      <c r="AZ85" s="182">
        <f ca="1">IF($D85&lt;&gt;"Serviço",0,IF(OR(AND(AUTOEVENTO="Manual",$M85=1),$M85&gt;(ROW(PLE.lastrow)-ROW(PLE.firstrow))),0,IF(OFFSET(PLE!$G$14,$M85,AZ$13)="",10^12,OFFSET(PLE!$G$14,$M85,AZ$13))))</f>
        <v>1000000000000</v>
      </c>
      <c r="BA85" s="182">
        <f ca="1">IF($D85&lt;&gt;"Serviço",0,IF(OR(AND(AUTOEVENTO="Manual",$M85=1),$M85&gt;(ROW(PLE.lastrow)-ROW(PLE.firstrow))),0,IF(OFFSET(PLE!$G$14,$M85,BA$13)="",10^12,OFFSET(PLE!$G$14,$M85,BA$13))))</f>
        <v>1000000000000</v>
      </c>
      <c r="BB85" s="182">
        <f ca="1">IF($D85&lt;&gt;"Serviço",0,IF(OR(AND(AUTOEVENTO="Manual",$M85=1),$M85&gt;(ROW(PLE.lastrow)-ROW(PLE.firstrow))),0,IF(OFFSET(PLE!$G$14,$M85,BB$13)="",10^12,OFFSET(PLE!$G$14,$M85,BB$13))))</f>
        <v>1000000000000</v>
      </c>
      <c r="BC85" s="182">
        <f ca="1">IF($D85&lt;&gt;"Serviço",0,IF(OR(AND(AUTOEVENTO="Manual",$M85=1),$M85&gt;(ROW(PLE.lastrow)-ROW(PLE.firstrow))),0,IF(OFFSET(PLE!$G$14,$M85,BC$13)="",10^12,OFFSET(PLE!$G$14,$M85,BC$13))))</f>
        <v>1000000000000</v>
      </c>
      <c r="BD85" s="182">
        <f ca="1">IF($D85&lt;&gt;"Serviço",0,IF(OR(AND(AUTOEVENTO="Manual",$M85=1),$M85&gt;(ROW(PLE.lastrow)-ROW(PLE.firstrow))),0,IF(OFFSET(PLE!$G$14,$M85,BD$13)="",10^12,OFFSET(PLE!$G$14,$M85,BD$13))))</f>
        <v>1000000000000</v>
      </c>
      <c r="BE85" s="182">
        <f ca="1">IF($D85&lt;&gt;"Serviço",0,IF(OR(AND(AUTOEVENTO="Manual",$M85=1),$M85&gt;(ROW(PLE.lastrow)-ROW(PLE.firstrow))),0,IF(OFFSET(PLE!$G$14,$M85,BE$13)="",10^12,OFFSET(PLE!$G$14,$M85,BE$13))))</f>
        <v>1000000000000</v>
      </c>
      <c r="BF85" s="182">
        <f ca="1">IF($D85&lt;&gt;"Serviço",0,IF(OR(AND(AUTOEVENTO="Manual",$M85=1),$M85&gt;(ROW(PLE.lastrow)-ROW(PLE.firstrow))),0,IF(OFFSET(PLE!$G$14,$M85,BF$13)="",10^12,OFFSET(PLE!$G$14,$M85,BF$13))))</f>
        <v>1000000000000</v>
      </c>
      <c r="BG85" s="182">
        <f ca="1">IF($D85&lt;&gt;"Serviço",0,IF(OR(AND(AUTOEVENTO="Manual",$M85=1),$M85&gt;(ROW(PLE.lastrow)-ROW(PLE.firstrow))),0,IF(OFFSET(PLE!$G$14,$M85,BG$13)="",10^12,OFFSET(PLE!$G$14,$M85,BG$13))))</f>
        <v>1000000000000</v>
      </c>
    </row>
    <row r="86" spans="1:59" ht="12.75" x14ac:dyDescent="0.2">
      <c r="A86" s="7" t="str">
        <f t="shared" ca="1" si="8"/>
        <v>67</v>
      </c>
      <c r="B86" s="7" t="str">
        <f ca="1">OFFSET(ORÇAMENTO!C$15,ROW(B86)-ROW(B$15),0)</f>
        <v>S</v>
      </c>
      <c r="C86" s="7" t="str">
        <f ca="1">OFFSET(ORÇAMENTO!L$15,ROW(C86)-ROW(C$15),0)</f>
        <v>F</v>
      </c>
      <c r="D86" s="118" t="str">
        <f ca="1">OFFSET(ORÇAMENTO!N$15,ROW(D86)-ROW(D$15),0)</f>
        <v>Serviço</v>
      </c>
      <c r="E86" s="119" t="str">
        <f ca="1">OFFSET(ORÇAMENTO!O$15,ROW(E86)-ROW(E$15),0)</f>
        <v>2.5.4.</v>
      </c>
      <c r="F86" s="172" t="str">
        <f ca="1">OFFSET(ORÇAMENTO!R$15,ROW(F86)-ROW(F$15),0)</f>
        <v>Pintura de faixa com tinta acrílica - espessura de 0,6 mm</v>
      </c>
      <c r="G86" s="173" t="str">
        <f ca="1">IF($D86&lt;&gt;"Serviço","",OFFSET(ORÇAMENTO!S$15,ROW(G86)-ROW(G$15),0))</f>
        <v>m²</v>
      </c>
      <c r="H86" s="124">
        <f ca="1">IF($D86&lt;&gt;"Serviço",0,IF(ACOMPANHAMENTO="BM",ROUND(OFFSET(ORÇAMENTO!AJ$15,ROW(H86)-ROW(H$15),0),15-13*ORÇAMENTO!$AF$7),SUMPRODUCT(($Q$12:$AA$12&lt;&gt;"")*ROUND($Q86:$AA86,15-13*ORÇAMENTO!$AF$7))))</f>
        <v>1</v>
      </c>
      <c r="I86" s="561"/>
      <c r="K86" s="174"/>
      <c r="L86" s="175" t="s">
        <v>255</v>
      </c>
      <c r="M86" s="176">
        <f ca="1">IF($D86&lt;&gt;"Serviço","",IF(AUTOEVENTO="manual",$A86,IF(ISERROR(MATCH($A86,$A$15:OFFSET($A86,-1,0),0)),MAX($M$15:OFFSET(M86,-1,0))+1,INDEX($M$15:OFFSET(M86,-1,0),MATCH($A86,$A$15:OFFSET($A86,-1,0),0)))))</f>
        <v>11</v>
      </c>
      <c r="N86" s="177" t="str">
        <f ca="1">IF($D86&lt;&gt;"Serviço","",IF(AUTOEVENTO="Manual",IF($A86=0,"&lt;-- defina o número do agrupador",OFFSET(EVENTOS!$D$14,$A86,0)),OFFSET($F$15,$A86,0)))</f>
        <v>SINALIZAÇÃO</v>
      </c>
      <c r="O86" s="178"/>
      <c r="Q86" s="178"/>
      <c r="R86" s="179"/>
      <c r="S86" s="179"/>
      <c r="T86" s="179"/>
      <c r="U86" s="179"/>
      <c r="V86" s="179"/>
      <c r="W86" s="179"/>
      <c r="X86" s="179"/>
      <c r="Y86" s="179"/>
      <c r="Z86" s="180"/>
      <c r="AB86" s="544">
        <f ca="1">IF(AND($D86="Serviço",AB$12&lt;&gt;0,$H86&gt;0,OR(AUTOEVENTO&lt;&gt;"manual",$M86&lt;&gt;1)), IF(Import.TipoArredondamento&lt;&gt;"TransfereGOV", ROUND(OFFSET($P86,0,AB$13),15-13*ORÇAMENTO!$AF$7)/$H86*OFFSET(ORÇAMENTO!$X$15,ROW(AB86)-ROW(AB$15),0), ROUND(ROUND(OFFSET($P86,0,AB$13),15-13*ORÇAMENTO!$AF$7)*OFFSET(ORÇAMENTO!$W$15,ROW(AB86)-ROW(AB$15),0),15-13*ORÇAMENTO!$AF$11)),0)</f>
        <v>0</v>
      </c>
      <c r="AC86" s="545">
        <f ca="1">IF(AND($D86="Serviço",AC$12&lt;&gt;0,$H86&gt;0,OR(AUTOEVENTO&lt;&gt;"manual",$M86&lt;&gt;1)), IF(Import.TipoArredondamento&lt;&gt;"TransfereGOV", ROUND(OFFSET($P86,0,AC$13),15-13*ORÇAMENTO!$AF$7)/$H86*OFFSET(ORÇAMENTO!$X$15,ROW(AC86)-ROW(AC$15),0), ROUND(ROUND(OFFSET($P86,0,AC$13),15-13*ORÇAMENTO!$AF$7)*OFFSET(ORÇAMENTO!$W$15,ROW(AC86)-ROW(AC$15),0),15-13*ORÇAMENTO!$AF$11)),0)</f>
        <v>0</v>
      </c>
      <c r="AD86" s="545">
        <f ca="1">IF(AND($D86="Serviço",AD$12&lt;&gt;0,$H86&gt;0,OR(AUTOEVENTO&lt;&gt;"manual",$M86&lt;&gt;1)), IF(Import.TipoArredondamento&lt;&gt;"TransfereGOV", ROUND(OFFSET($P86,0,AD$13),15-13*ORÇAMENTO!$AF$7)/$H86*OFFSET(ORÇAMENTO!$X$15,ROW(AD86)-ROW(AD$15),0), ROUND(ROUND(OFFSET($P86,0,AD$13),15-13*ORÇAMENTO!$AF$7)*OFFSET(ORÇAMENTO!$W$15,ROW(AD86)-ROW(AD$15),0),15-13*ORÇAMENTO!$AF$11)),0)</f>
        <v>0</v>
      </c>
      <c r="AE86" s="545">
        <f ca="1">IF(AND($D86="Serviço",AE$12&lt;&gt;0,$H86&gt;0,OR(AUTOEVENTO&lt;&gt;"manual",$M86&lt;&gt;1)), IF(Import.TipoArredondamento&lt;&gt;"TransfereGOV", ROUND(OFFSET($P86,0,AE$13),15-13*ORÇAMENTO!$AF$7)/$H86*OFFSET(ORÇAMENTO!$X$15,ROW(AE86)-ROW(AE$15),0), ROUND(ROUND(OFFSET($P86,0,AE$13),15-13*ORÇAMENTO!$AF$7)*OFFSET(ORÇAMENTO!$W$15,ROW(AE86)-ROW(AE$15),0),15-13*ORÇAMENTO!$AF$11)),0)</f>
        <v>0</v>
      </c>
      <c r="AF86" s="545">
        <f ca="1">IF(AND($D86="Serviço",AF$12&lt;&gt;0,$H86&gt;0,OR(AUTOEVENTO&lt;&gt;"manual",$M86&lt;&gt;1)), IF(Import.TipoArredondamento&lt;&gt;"TransfereGOV", ROUND(OFFSET($P86,0,AF$13),15-13*ORÇAMENTO!$AF$7)/$H86*OFFSET(ORÇAMENTO!$X$15,ROW(AF86)-ROW(AF$15),0), ROUND(ROUND(OFFSET($P86,0,AF$13),15-13*ORÇAMENTO!$AF$7)*OFFSET(ORÇAMENTO!$W$15,ROW(AF86)-ROW(AF$15),0),15-13*ORÇAMENTO!$AF$11)),0)</f>
        <v>0</v>
      </c>
      <c r="AG86" s="545">
        <f ca="1">IF(AND($D86="Serviço",AG$12&lt;&gt;0,$H86&gt;0,OR(AUTOEVENTO&lt;&gt;"manual",$M86&lt;&gt;1)), IF(Import.TipoArredondamento&lt;&gt;"TransfereGOV", ROUND(OFFSET($P86,0,AG$13),15-13*ORÇAMENTO!$AF$7)/$H86*OFFSET(ORÇAMENTO!$X$15,ROW(AG86)-ROW(AG$15),0), ROUND(ROUND(OFFSET($P86,0,AG$13),15-13*ORÇAMENTO!$AF$7)*OFFSET(ORÇAMENTO!$W$15,ROW(AG86)-ROW(AG$15),0),15-13*ORÇAMENTO!$AF$11)),0)</f>
        <v>0</v>
      </c>
      <c r="AH86" s="545">
        <f ca="1">IF(AND($D86="Serviço",AH$12&lt;&gt;0,$H86&gt;0,OR(AUTOEVENTO&lt;&gt;"manual",$M86&lt;&gt;1)), IF(Import.TipoArredondamento&lt;&gt;"TransfereGOV", ROUND(OFFSET($P86,0,AH$13),15-13*ORÇAMENTO!$AF$7)/$H86*OFFSET(ORÇAMENTO!$X$15,ROW(AH86)-ROW(AH$15),0), ROUND(ROUND(OFFSET($P86,0,AH$13),15-13*ORÇAMENTO!$AF$7)*OFFSET(ORÇAMENTO!$W$15,ROW(AH86)-ROW(AH$15),0),15-13*ORÇAMENTO!$AF$11)),0)</f>
        <v>0</v>
      </c>
      <c r="AI86" s="545">
        <f ca="1">IF(AND($D86="Serviço",AI$12&lt;&gt;0,$H86&gt;0,OR(AUTOEVENTO&lt;&gt;"manual",$M86&lt;&gt;1)), IF(Import.TipoArredondamento&lt;&gt;"TransfereGOV", ROUND(OFFSET($P86,0,AI$13),15-13*ORÇAMENTO!$AF$7)/$H86*OFFSET(ORÇAMENTO!$X$15,ROW(AI86)-ROW(AI$15),0), ROUND(ROUND(OFFSET($P86,0,AI$13),15-13*ORÇAMENTO!$AF$7)*OFFSET(ORÇAMENTO!$W$15,ROW(AI86)-ROW(AI$15),0),15-13*ORÇAMENTO!$AF$11)),0)</f>
        <v>0</v>
      </c>
      <c r="AJ86" s="545">
        <f ca="1">IF(AND($D86="Serviço",AJ$12&lt;&gt;0,$H86&gt;0,OR(AUTOEVENTO&lt;&gt;"manual",$M86&lt;&gt;1)), IF(Import.TipoArredondamento&lt;&gt;"TransfereGOV", ROUND(OFFSET($P86,0,AJ$13),15-13*ORÇAMENTO!$AF$7)/$H86*OFFSET(ORÇAMENTO!$X$15,ROW(AJ86)-ROW(AJ$15),0), ROUND(ROUND(OFFSET($P86,0,AJ$13),15-13*ORÇAMENTO!$AF$7)*OFFSET(ORÇAMENTO!$W$15,ROW(AJ86)-ROW(AJ$15),0),15-13*ORÇAMENTO!$AF$11)),0)</f>
        <v>0</v>
      </c>
      <c r="AK86" s="546">
        <f ca="1">IF(AND($D86="Serviço",AK$12&lt;&gt;0,$H86&gt;0,OR(AUTOEVENTO&lt;&gt;"manual",$M86&lt;&gt;1)), IF(Import.TipoArredondamento&lt;&gt;"TransfereGOV", ROUND(OFFSET($P86,0,AK$13),15-13*ORÇAMENTO!$AF$7)/$H86*OFFSET(ORÇAMENTO!$X$15,ROW(AK86)-ROW(AK$15),0), ROUND(ROUND(OFFSET($P86,0,AK$13),15-13*ORÇAMENTO!$AF$7)*OFFSET(ORÇAMENTO!$W$15,ROW(AK86)-ROW(AK$15),0),15-13*ORÇAMENTO!$AF$11)),0)</f>
        <v>0</v>
      </c>
      <c r="AM86" s="181">
        <f ca="1">IF($D86&lt;&gt;"Serviço",0,IF(AND(AUTOEVENTO="Manual",$M86=1),0,IF(OFFSET(CRONOPLE!$F$14,$M86,AM$13)="",10^12,OFFSET(CRONOPLE!$F$14,$M86,AM$13))))</f>
        <v>1000000000000</v>
      </c>
      <c r="AN86" s="181">
        <f ca="1">IF($D86&lt;&gt;"Serviço",0,IF(AND(AUTOEVENTO="Manual",$M86=1),0,IF(OFFSET(CRONOPLE!$F$14,$M86,AN$13)="",10^12,OFFSET(CRONOPLE!$F$14,$M86,AN$13))))</f>
        <v>1000000000000</v>
      </c>
      <c r="AO86" s="181">
        <f ca="1">IF($D86&lt;&gt;"Serviço",0,IF(AND(AUTOEVENTO="Manual",$M86=1),0,IF(OFFSET(CRONOPLE!$F$14,$M86,AO$13)="",10^12,OFFSET(CRONOPLE!$F$14,$M86,AO$13))))</f>
        <v>1000000000000</v>
      </c>
      <c r="AP86" s="181">
        <f ca="1">IF($D86&lt;&gt;"Serviço",0,IF(AND(AUTOEVENTO="Manual",$M86=1),0,IF(OFFSET(CRONOPLE!$F$14,$M86,AP$13)="",10^12,OFFSET(CRONOPLE!$F$14,$M86,AP$13))))</f>
        <v>1000000000000</v>
      </c>
      <c r="AQ86" s="181">
        <f ca="1">IF($D86&lt;&gt;"Serviço",0,IF(AND(AUTOEVENTO="Manual",$M86=1),0,IF(OFFSET(CRONOPLE!$F$14,$M86,AQ$13)="",10^12,OFFSET(CRONOPLE!$F$14,$M86,AQ$13))))</f>
        <v>1000000000000</v>
      </c>
      <c r="AR86" s="181">
        <f ca="1">IF($D86&lt;&gt;"Serviço",0,IF(AND(AUTOEVENTO="Manual",$M86=1),0,IF(OFFSET(CRONOPLE!$F$14,$M86,AR$13)="",10^12,OFFSET(CRONOPLE!$F$14,$M86,AR$13))))</f>
        <v>1000000000000</v>
      </c>
      <c r="AS86" s="181">
        <f ca="1">IF($D86&lt;&gt;"Serviço",0,IF(AND(AUTOEVENTO="Manual",$M86=1),0,IF(OFFSET(CRONOPLE!$F$14,$M86,AS$13)="",10^12,OFFSET(CRONOPLE!$F$14,$M86,AS$13))))</f>
        <v>1000000000000</v>
      </c>
      <c r="AT86" s="181">
        <f ca="1">IF($D86&lt;&gt;"Serviço",0,IF(AND(AUTOEVENTO="Manual",$M86=1),0,IF(OFFSET(CRONOPLE!$F$14,$M86,AT$13)="",10^12,OFFSET(CRONOPLE!$F$14,$M86,AT$13))))</f>
        <v>1000000000000</v>
      </c>
      <c r="AU86" s="181">
        <f ca="1">IF($D86&lt;&gt;"Serviço",0,IF(AND(AUTOEVENTO="Manual",$M86=1),0,IF(OFFSET(CRONOPLE!$F$14,$M86,AU$13)="",10^12,OFFSET(CRONOPLE!$F$14,$M86,AU$13))))</f>
        <v>1000000000000</v>
      </c>
      <c r="AV86" s="181">
        <f ca="1">IF($D86&lt;&gt;"Serviço",0,IF(AND(AUTOEVENTO="Manual",$M86=1),0,IF(OFFSET(CRONOPLE!$F$14,$M86,AV$13)="",10^12,OFFSET(CRONOPLE!$F$14,$M86,AV$13))))</f>
        <v>1000000000000</v>
      </c>
      <c r="AX86" s="182">
        <f ca="1">IF($D86&lt;&gt;"Serviço",0,IF(OR(AND(AUTOEVENTO="Manual",$M86=1),$M86&gt;(ROW(PLE.lastrow)-ROW(PLE.firstrow))),0,IF(OFFSET(PLE!$G$14,$M86,AX$13)="",10^12,OFFSET(PLE!$G$14,$M86,AX$13))))</f>
        <v>1000000000000</v>
      </c>
      <c r="AY86" s="182">
        <f ca="1">IF($D86&lt;&gt;"Serviço",0,IF(OR(AND(AUTOEVENTO="Manual",$M86=1),$M86&gt;(ROW(PLE.lastrow)-ROW(PLE.firstrow))),0,IF(OFFSET(PLE!$G$14,$M86,AY$13)="",10^12,OFFSET(PLE!$G$14,$M86,AY$13))))</f>
        <v>1000000000000</v>
      </c>
      <c r="AZ86" s="182">
        <f ca="1">IF($D86&lt;&gt;"Serviço",0,IF(OR(AND(AUTOEVENTO="Manual",$M86=1),$M86&gt;(ROW(PLE.lastrow)-ROW(PLE.firstrow))),0,IF(OFFSET(PLE!$G$14,$M86,AZ$13)="",10^12,OFFSET(PLE!$G$14,$M86,AZ$13))))</f>
        <v>1000000000000</v>
      </c>
      <c r="BA86" s="182">
        <f ca="1">IF($D86&lt;&gt;"Serviço",0,IF(OR(AND(AUTOEVENTO="Manual",$M86=1),$M86&gt;(ROW(PLE.lastrow)-ROW(PLE.firstrow))),0,IF(OFFSET(PLE!$G$14,$M86,BA$13)="",10^12,OFFSET(PLE!$G$14,$M86,BA$13))))</f>
        <v>1000000000000</v>
      </c>
      <c r="BB86" s="182">
        <f ca="1">IF($D86&lt;&gt;"Serviço",0,IF(OR(AND(AUTOEVENTO="Manual",$M86=1),$M86&gt;(ROW(PLE.lastrow)-ROW(PLE.firstrow))),0,IF(OFFSET(PLE!$G$14,$M86,BB$13)="",10^12,OFFSET(PLE!$G$14,$M86,BB$13))))</f>
        <v>1000000000000</v>
      </c>
      <c r="BC86" s="182">
        <f ca="1">IF($D86&lt;&gt;"Serviço",0,IF(OR(AND(AUTOEVENTO="Manual",$M86=1),$M86&gt;(ROW(PLE.lastrow)-ROW(PLE.firstrow))),0,IF(OFFSET(PLE!$G$14,$M86,BC$13)="",10^12,OFFSET(PLE!$G$14,$M86,BC$13))))</f>
        <v>1000000000000</v>
      </c>
      <c r="BD86" s="182">
        <f ca="1">IF($D86&lt;&gt;"Serviço",0,IF(OR(AND(AUTOEVENTO="Manual",$M86=1),$M86&gt;(ROW(PLE.lastrow)-ROW(PLE.firstrow))),0,IF(OFFSET(PLE!$G$14,$M86,BD$13)="",10^12,OFFSET(PLE!$G$14,$M86,BD$13))))</f>
        <v>1000000000000</v>
      </c>
      <c r="BE86" s="182">
        <f ca="1">IF($D86&lt;&gt;"Serviço",0,IF(OR(AND(AUTOEVENTO="Manual",$M86=1),$M86&gt;(ROW(PLE.lastrow)-ROW(PLE.firstrow))),0,IF(OFFSET(PLE!$G$14,$M86,BE$13)="",10^12,OFFSET(PLE!$G$14,$M86,BE$13))))</f>
        <v>1000000000000</v>
      </c>
      <c r="BF86" s="182">
        <f ca="1">IF($D86&lt;&gt;"Serviço",0,IF(OR(AND(AUTOEVENTO="Manual",$M86=1),$M86&gt;(ROW(PLE.lastrow)-ROW(PLE.firstrow))),0,IF(OFFSET(PLE!$G$14,$M86,BF$13)="",10^12,OFFSET(PLE!$G$14,$M86,BF$13))))</f>
        <v>1000000000000</v>
      </c>
      <c r="BG86" s="182">
        <f ca="1">IF($D86&lt;&gt;"Serviço",0,IF(OR(AND(AUTOEVENTO="Manual",$M86=1),$M86&gt;(ROW(PLE.lastrow)-ROW(PLE.firstrow))),0,IF(OFFSET(PLE!$G$14,$M86,BG$13)="",10^12,OFFSET(PLE!$G$14,$M86,BG$13))))</f>
        <v>1000000000000</v>
      </c>
    </row>
    <row r="87" spans="1:59" ht="12.75" x14ac:dyDescent="0.2">
      <c r="A87" s="7" t="str">
        <f t="shared" ca="1" si="8"/>
        <v>72.</v>
      </c>
      <c r="B87" s="7">
        <f ca="1">OFFSET(ORÇAMENTO!C$15,ROW(B87)-ROW(B$15),0)</f>
        <v>1</v>
      </c>
      <c r="C87" s="7" t="str">
        <f ca="1">OFFSET(ORÇAMENTO!L$15,ROW(C87)-ROW(C$15),0)</f>
        <v>F</v>
      </c>
      <c r="D87" s="118" t="str">
        <f ca="1">OFFSET(ORÇAMENTO!N$15,ROW(D87)-ROW(D$15),0)</f>
        <v>Meta</v>
      </c>
      <c r="E87" s="119" t="str">
        <f ca="1">OFFSET(ORÇAMENTO!O$15,ROW(E87)-ROW(E$15),0)</f>
        <v>3.</v>
      </c>
      <c r="F87" s="172" t="str">
        <f ca="1">OFFSET(ORÇAMENTO!R$15,ROW(F87)-ROW(F$15),0)</f>
        <v>TRECHO 03 - Rua Presidente Castelo Branco</v>
      </c>
      <c r="G87" s="173" t="str">
        <f ca="1">IF($D87&lt;&gt;"Serviço","",OFFSET(ORÇAMENTO!S$15,ROW(G87)-ROW(G$15),0))</f>
        <v/>
      </c>
      <c r="H87" s="124">
        <f ca="1">IF($D87&lt;&gt;"Serviço",0,IF(ACOMPANHAMENTO="BM",ROUND(OFFSET(ORÇAMENTO!AJ$15,ROW(H87)-ROW(H$15),0),15-13*ORÇAMENTO!$AF$7),SUMPRODUCT(($Q$12:$AA$12&lt;&gt;"")*ROUND($Q87:$AA87,15-13*ORÇAMENTO!$AF$7))))</f>
        <v>0</v>
      </c>
      <c r="I87" s="561"/>
      <c r="K87" s="174"/>
      <c r="L87" s="175" t="s">
        <v>255</v>
      </c>
      <c r="M87" s="176" t="str">
        <f ca="1">IF($D87&lt;&gt;"Serviço","",IF(AUTOEVENTO="manual",$A87,IF(ISERROR(MATCH($A87,$A$15:OFFSET($A87,-1,0),0)),MAX($M$15:OFFSET(M87,-1,0))+1,INDEX($M$15:OFFSET(M87,-1,0),MATCH($A87,$A$15:OFFSET($A87,-1,0),0)))))</f>
        <v/>
      </c>
      <c r="N87" s="177" t="str">
        <f ca="1">IF($D87&lt;&gt;"Serviço","",IF(AUTOEVENTO="Manual",IF($A87=0,"&lt;-- defina o número do agrupador",OFFSET(EVENTOS!$D$14,$A87,0)),OFFSET($F$15,$A87,0)))</f>
        <v/>
      </c>
      <c r="O87" s="178"/>
      <c r="Q87" s="178"/>
      <c r="R87" s="179"/>
      <c r="S87" s="179"/>
      <c r="T87" s="179"/>
      <c r="U87" s="179"/>
      <c r="V87" s="179"/>
      <c r="W87" s="179"/>
      <c r="X87" s="179"/>
      <c r="Y87" s="179"/>
      <c r="Z87" s="180"/>
      <c r="AB87" s="544">
        <f ca="1">IF(AND($D87="Serviço",AB$12&lt;&gt;0,$H87&gt;0,OR(AUTOEVENTO&lt;&gt;"manual",$M87&lt;&gt;1)), IF(Import.TipoArredondamento&lt;&gt;"TransfereGOV", ROUND(OFFSET($P87,0,AB$13),15-13*ORÇAMENTO!$AF$7)/$H87*OFFSET(ORÇAMENTO!$X$15,ROW(AB87)-ROW(AB$15),0), ROUND(ROUND(OFFSET($P87,0,AB$13),15-13*ORÇAMENTO!$AF$7)*OFFSET(ORÇAMENTO!$W$15,ROW(AB87)-ROW(AB$15),0),15-13*ORÇAMENTO!$AF$11)),0)</f>
        <v>0</v>
      </c>
      <c r="AC87" s="545">
        <f ca="1">IF(AND($D87="Serviço",AC$12&lt;&gt;0,$H87&gt;0,OR(AUTOEVENTO&lt;&gt;"manual",$M87&lt;&gt;1)), IF(Import.TipoArredondamento&lt;&gt;"TransfereGOV", ROUND(OFFSET($P87,0,AC$13),15-13*ORÇAMENTO!$AF$7)/$H87*OFFSET(ORÇAMENTO!$X$15,ROW(AC87)-ROW(AC$15),0), ROUND(ROUND(OFFSET($P87,0,AC$13),15-13*ORÇAMENTO!$AF$7)*OFFSET(ORÇAMENTO!$W$15,ROW(AC87)-ROW(AC$15),0),15-13*ORÇAMENTO!$AF$11)),0)</f>
        <v>0</v>
      </c>
      <c r="AD87" s="545">
        <f ca="1">IF(AND($D87="Serviço",AD$12&lt;&gt;0,$H87&gt;0,OR(AUTOEVENTO&lt;&gt;"manual",$M87&lt;&gt;1)), IF(Import.TipoArredondamento&lt;&gt;"TransfereGOV", ROUND(OFFSET($P87,0,AD$13),15-13*ORÇAMENTO!$AF$7)/$H87*OFFSET(ORÇAMENTO!$X$15,ROW(AD87)-ROW(AD$15),0), ROUND(ROUND(OFFSET($P87,0,AD$13),15-13*ORÇAMENTO!$AF$7)*OFFSET(ORÇAMENTO!$W$15,ROW(AD87)-ROW(AD$15),0),15-13*ORÇAMENTO!$AF$11)),0)</f>
        <v>0</v>
      </c>
      <c r="AE87" s="545">
        <f ca="1">IF(AND($D87="Serviço",AE$12&lt;&gt;0,$H87&gt;0,OR(AUTOEVENTO&lt;&gt;"manual",$M87&lt;&gt;1)), IF(Import.TipoArredondamento&lt;&gt;"TransfereGOV", ROUND(OFFSET($P87,0,AE$13),15-13*ORÇAMENTO!$AF$7)/$H87*OFFSET(ORÇAMENTO!$X$15,ROW(AE87)-ROW(AE$15),0), ROUND(ROUND(OFFSET($P87,0,AE$13),15-13*ORÇAMENTO!$AF$7)*OFFSET(ORÇAMENTO!$W$15,ROW(AE87)-ROW(AE$15),0),15-13*ORÇAMENTO!$AF$11)),0)</f>
        <v>0</v>
      </c>
      <c r="AF87" s="545">
        <f ca="1">IF(AND($D87="Serviço",AF$12&lt;&gt;0,$H87&gt;0,OR(AUTOEVENTO&lt;&gt;"manual",$M87&lt;&gt;1)), IF(Import.TipoArredondamento&lt;&gt;"TransfereGOV", ROUND(OFFSET($P87,0,AF$13),15-13*ORÇAMENTO!$AF$7)/$H87*OFFSET(ORÇAMENTO!$X$15,ROW(AF87)-ROW(AF$15),0), ROUND(ROUND(OFFSET($P87,0,AF$13),15-13*ORÇAMENTO!$AF$7)*OFFSET(ORÇAMENTO!$W$15,ROW(AF87)-ROW(AF$15),0),15-13*ORÇAMENTO!$AF$11)),0)</f>
        <v>0</v>
      </c>
      <c r="AG87" s="545">
        <f ca="1">IF(AND($D87="Serviço",AG$12&lt;&gt;0,$H87&gt;0,OR(AUTOEVENTO&lt;&gt;"manual",$M87&lt;&gt;1)), IF(Import.TipoArredondamento&lt;&gt;"TransfereGOV", ROUND(OFFSET($P87,0,AG$13),15-13*ORÇAMENTO!$AF$7)/$H87*OFFSET(ORÇAMENTO!$X$15,ROW(AG87)-ROW(AG$15),0), ROUND(ROUND(OFFSET($P87,0,AG$13),15-13*ORÇAMENTO!$AF$7)*OFFSET(ORÇAMENTO!$W$15,ROW(AG87)-ROW(AG$15),0),15-13*ORÇAMENTO!$AF$11)),0)</f>
        <v>0</v>
      </c>
      <c r="AH87" s="545">
        <f ca="1">IF(AND($D87="Serviço",AH$12&lt;&gt;0,$H87&gt;0,OR(AUTOEVENTO&lt;&gt;"manual",$M87&lt;&gt;1)), IF(Import.TipoArredondamento&lt;&gt;"TransfereGOV", ROUND(OFFSET($P87,0,AH$13),15-13*ORÇAMENTO!$AF$7)/$H87*OFFSET(ORÇAMENTO!$X$15,ROW(AH87)-ROW(AH$15),0), ROUND(ROUND(OFFSET($P87,0,AH$13),15-13*ORÇAMENTO!$AF$7)*OFFSET(ORÇAMENTO!$W$15,ROW(AH87)-ROW(AH$15),0),15-13*ORÇAMENTO!$AF$11)),0)</f>
        <v>0</v>
      </c>
      <c r="AI87" s="545">
        <f ca="1">IF(AND($D87="Serviço",AI$12&lt;&gt;0,$H87&gt;0,OR(AUTOEVENTO&lt;&gt;"manual",$M87&lt;&gt;1)), IF(Import.TipoArredondamento&lt;&gt;"TransfereGOV", ROUND(OFFSET($P87,0,AI$13),15-13*ORÇAMENTO!$AF$7)/$H87*OFFSET(ORÇAMENTO!$X$15,ROW(AI87)-ROW(AI$15),0), ROUND(ROUND(OFFSET($P87,0,AI$13),15-13*ORÇAMENTO!$AF$7)*OFFSET(ORÇAMENTO!$W$15,ROW(AI87)-ROW(AI$15),0),15-13*ORÇAMENTO!$AF$11)),0)</f>
        <v>0</v>
      </c>
      <c r="AJ87" s="545">
        <f ca="1">IF(AND($D87="Serviço",AJ$12&lt;&gt;0,$H87&gt;0,OR(AUTOEVENTO&lt;&gt;"manual",$M87&lt;&gt;1)), IF(Import.TipoArredondamento&lt;&gt;"TransfereGOV", ROUND(OFFSET($P87,0,AJ$13),15-13*ORÇAMENTO!$AF$7)/$H87*OFFSET(ORÇAMENTO!$X$15,ROW(AJ87)-ROW(AJ$15),0), ROUND(ROUND(OFFSET($P87,0,AJ$13),15-13*ORÇAMENTO!$AF$7)*OFFSET(ORÇAMENTO!$W$15,ROW(AJ87)-ROW(AJ$15),0),15-13*ORÇAMENTO!$AF$11)),0)</f>
        <v>0</v>
      </c>
      <c r="AK87" s="546">
        <f ca="1">IF(AND($D87="Serviço",AK$12&lt;&gt;0,$H87&gt;0,OR(AUTOEVENTO&lt;&gt;"manual",$M87&lt;&gt;1)), IF(Import.TipoArredondamento&lt;&gt;"TransfereGOV", ROUND(OFFSET($P87,0,AK$13),15-13*ORÇAMENTO!$AF$7)/$H87*OFFSET(ORÇAMENTO!$X$15,ROW(AK87)-ROW(AK$15),0), ROUND(ROUND(OFFSET($P87,0,AK$13),15-13*ORÇAMENTO!$AF$7)*OFFSET(ORÇAMENTO!$W$15,ROW(AK87)-ROW(AK$15),0),15-13*ORÇAMENTO!$AF$11)),0)</f>
        <v>0</v>
      </c>
      <c r="AM87" s="181">
        <f ca="1">IF($D87&lt;&gt;"Serviço",0,IF(AND(AUTOEVENTO="Manual",$M87=1),0,IF(OFFSET(CRONOPLE!$F$14,$M87,AM$13)="",10^12,OFFSET(CRONOPLE!$F$14,$M87,AM$13))))</f>
        <v>0</v>
      </c>
      <c r="AN87" s="181">
        <f ca="1">IF($D87&lt;&gt;"Serviço",0,IF(AND(AUTOEVENTO="Manual",$M87=1),0,IF(OFFSET(CRONOPLE!$F$14,$M87,AN$13)="",10^12,OFFSET(CRONOPLE!$F$14,$M87,AN$13))))</f>
        <v>0</v>
      </c>
      <c r="AO87" s="181">
        <f ca="1">IF($D87&lt;&gt;"Serviço",0,IF(AND(AUTOEVENTO="Manual",$M87=1),0,IF(OFFSET(CRONOPLE!$F$14,$M87,AO$13)="",10^12,OFFSET(CRONOPLE!$F$14,$M87,AO$13))))</f>
        <v>0</v>
      </c>
      <c r="AP87" s="181">
        <f ca="1">IF($D87&lt;&gt;"Serviço",0,IF(AND(AUTOEVENTO="Manual",$M87=1),0,IF(OFFSET(CRONOPLE!$F$14,$M87,AP$13)="",10^12,OFFSET(CRONOPLE!$F$14,$M87,AP$13))))</f>
        <v>0</v>
      </c>
      <c r="AQ87" s="181">
        <f ca="1">IF($D87&lt;&gt;"Serviço",0,IF(AND(AUTOEVENTO="Manual",$M87=1),0,IF(OFFSET(CRONOPLE!$F$14,$M87,AQ$13)="",10^12,OFFSET(CRONOPLE!$F$14,$M87,AQ$13))))</f>
        <v>0</v>
      </c>
      <c r="AR87" s="181">
        <f ca="1">IF($D87&lt;&gt;"Serviço",0,IF(AND(AUTOEVENTO="Manual",$M87=1),0,IF(OFFSET(CRONOPLE!$F$14,$M87,AR$13)="",10^12,OFFSET(CRONOPLE!$F$14,$M87,AR$13))))</f>
        <v>0</v>
      </c>
      <c r="AS87" s="181">
        <f ca="1">IF($D87&lt;&gt;"Serviço",0,IF(AND(AUTOEVENTO="Manual",$M87=1),0,IF(OFFSET(CRONOPLE!$F$14,$M87,AS$13)="",10^12,OFFSET(CRONOPLE!$F$14,$M87,AS$13))))</f>
        <v>0</v>
      </c>
      <c r="AT87" s="181">
        <f ca="1">IF($D87&lt;&gt;"Serviço",0,IF(AND(AUTOEVENTO="Manual",$M87=1),0,IF(OFFSET(CRONOPLE!$F$14,$M87,AT$13)="",10^12,OFFSET(CRONOPLE!$F$14,$M87,AT$13))))</f>
        <v>0</v>
      </c>
      <c r="AU87" s="181">
        <f ca="1">IF($D87&lt;&gt;"Serviço",0,IF(AND(AUTOEVENTO="Manual",$M87=1),0,IF(OFFSET(CRONOPLE!$F$14,$M87,AU$13)="",10^12,OFFSET(CRONOPLE!$F$14,$M87,AU$13))))</f>
        <v>0</v>
      </c>
      <c r="AV87" s="181">
        <f ca="1">IF($D87&lt;&gt;"Serviço",0,IF(AND(AUTOEVENTO="Manual",$M87=1),0,IF(OFFSET(CRONOPLE!$F$14,$M87,AV$13)="",10^12,OFFSET(CRONOPLE!$F$14,$M87,AV$13))))</f>
        <v>0</v>
      </c>
      <c r="AX87" s="182">
        <f ca="1">IF($D87&lt;&gt;"Serviço",0,IF(OR(AND(AUTOEVENTO="Manual",$M87=1),$M87&gt;(ROW(PLE.lastrow)-ROW(PLE.firstrow))),0,IF(OFFSET(PLE!$G$14,$M87,AX$13)="",10^12,OFFSET(PLE!$G$14,$M87,AX$13))))</f>
        <v>0</v>
      </c>
      <c r="AY87" s="182">
        <f ca="1">IF($D87&lt;&gt;"Serviço",0,IF(OR(AND(AUTOEVENTO="Manual",$M87=1),$M87&gt;(ROW(PLE.lastrow)-ROW(PLE.firstrow))),0,IF(OFFSET(PLE!$G$14,$M87,AY$13)="",10^12,OFFSET(PLE!$G$14,$M87,AY$13))))</f>
        <v>0</v>
      </c>
      <c r="AZ87" s="182">
        <f ca="1">IF($D87&lt;&gt;"Serviço",0,IF(OR(AND(AUTOEVENTO="Manual",$M87=1),$M87&gt;(ROW(PLE.lastrow)-ROW(PLE.firstrow))),0,IF(OFFSET(PLE!$G$14,$M87,AZ$13)="",10^12,OFFSET(PLE!$G$14,$M87,AZ$13))))</f>
        <v>0</v>
      </c>
      <c r="BA87" s="182">
        <f ca="1">IF($D87&lt;&gt;"Serviço",0,IF(OR(AND(AUTOEVENTO="Manual",$M87=1),$M87&gt;(ROW(PLE.lastrow)-ROW(PLE.firstrow))),0,IF(OFFSET(PLE!$G$14,$M87,BA$13)="",10^12,OFFSET(PLE!$G$14,$M87,BA$13))))</f>
        <v>0</v>
      </c>
      <c r="BB87" s="182">
        <f ca="1">IF($D87&lt;&gt;"Serviço",0,IF(OR(AND(AUTOEVENTO="Manual",$M87=1),$M87&gt;(ROW(PLE.lastrow)-ROW(PLE.firstrow))),0,IF(OFFSET(PLE!$G$14,$M87,BB$13)="",10^12,OFFSET(PLE!$G$14,$M87,BB$13))))</f>
        <v>0</v>
      </c>
      <c r="BC87" s="182">
        <f ca="1">IF($D87&lt;&gt;"Serviço",0,IF(OR(AND(AUTOEVENTO="Manual",$M87=1),$M87&gt;(ROW(PLE.lastrow)-ROW(PLE.firstrow))),0,IF(OFFSET(PLE!$G$14,$M87,BC$13)="",10^12,OFFSET(PLE!$G$14,$M87,BC$13))))</f>
        <v>0</v>
      </c>
      <c r="BD87" s="182">
        <f ca="1">IF($D87&lt;&gt;"Serviço",0,IF(OR(AND(AUTOEVENTO="Manual",$M87=1),$M87&gt;(ROW(PLE.lastrow)-ROW(PLE.firstrow))),0,IF(OFFSET(PLE!$G$14,$M87,BD$13)="",10^12,OFFSET(PLE!$G$14,$M87,BD$13))))</f>
        <v>0</v>
      </c>
      <c r="BE87" s="182">
        <f ca="1">IF($D87&lt;&gt;"Serviço",0,IF(OR(AND(AUTOEVENTO="Manual",$M87=1),$M87&gt;(ROW(PLE.lastrow)-ROW(PLE.firstrow))),0,IF(OFFSET(PLE!$G$14,$M87,BE$13)="",10^12,OFFSET(PLE!$G$14,$M87,BE$13))))</f>
        <v>0</v>
      </c>
      <c r="BF87" s="182">
        <f ca="1">IF($D87&lt;&gt;"Serviço",0,IF(OR(AND(AUTOEVENTO="Manual",$M87=1),$M87&gt;(ROW(PLE.lastrow)-ROW(PLE.firstrow))),0,IF(OFFSET(PLE!$G$14,$M87,BF$13)="",10^12,OFFSET(PLE!$G$14,$M87,BF$13))))</f>
        <v>0</v>
      </c>
      <c r="BG87" s="182">
        <f ca="1">IF($D87&lt;&gt;"Serviço",0,IF(OR(AND(AUTOEVENTO="Manual",$M87=1),$M87&gt;(ROW(PLE.lastrow)-ROW(PLE.firstrow))),0,IF(OFFSET(PLE!$G$14,$M87,BG$13)="",10^12,OFFSET(PLE!$G$14,$M87,BG$13))))</f>
        <v>0</v>
      </c>
    </row>
    <row r="88" spans="1:59" ht="12.75" x14ac:dyDescent="0.2">
      <c r="A88" s="7" t="str">
        <f t="shared" ca="1" si="8"/>
        <v>73.</v>
      </c>
      <c r="B88" s="7">
        <f ca="1">OFFSET(ORÇAMENTO!C$15,ROW(B88)-ROW(B$15),0)</f>
        <v>2</v>
      </c>
      <c r="C88" s="7" t="str">
        <f ca="1">OFFSET(ORÇAMENTO!L$15,ROW(C88)-ROW(C$15),0)</f>
        <v>F</v>
      </c>
      <c r="D88" s="118" t="str">
        <f ca="1">OFFSET(ORÇAMENTO!N$15,ROW(D88)-ROW(D$15),0)</f>
        <v>Nível 2</v>
      </c>
      <c r="E88" s="119" t="str">
        <f ca="1">OFFSET(ORÇAMENTO!O$15,ROW(E88)-ROW(E$15),0)</f>
        <v>3.1.</v>
      </c>
      <c r="F88" s="172" t="str">
        <f ca="1">OFFSET(ORÇAMENTO!R$15,ROW(F88)-ROW(F$15),0)</f>
        <v xml:space="preserve">SERVIÇOS INICIAIS </v>
      </c>
      <c r="G88" s="173" t="str">
        <f ca="1">IF($D88&lt;&gt;"Serviço","",OFFSET(ORÇAMENTO!S$15,ROW(G88)-ROW(G$15),0))</f>
        <v/>
      </c>
      <c r="H88" s="124">
        <f ca="1">IF($D88&lt;&gt;"Serviço",0,IF(ACOMPANHAMENTO="BM",ROUND(OFFSET(ORÇAMENTO!AJ$15,ROW(H88)-ROW(H$15),0),15-13*ORÇAMENTO!$AF$7),SUMPRODUCT(($Q$12:$AA$12&lt;&gt;"")*ROUND($Q88:$AA88,15-13*ORÇAMENTO!$AF$7))))</f>
        <v>0</v>
      </c>
      <c r="I88" s="561"/>
      <c r="K88" s="174"/>
      <c r="L88" s="175" t="s">
        <v>255</v>
      </c>
      <c r="M88" s="176" t="str">
        <f ca="1">IF($D88&lt;&gt;"Serviço","",IF(AUTOEVENTO="manual",$A88,IF(ISERROR(MATCH($A88,$A$15:OFFSET($A88,-1,0),0)),MAX($M$15:OFFSET(M88,-1,0))+1,INDEX($M$15:OFFSET(M88,-1,0),MATCH($A88,$A$15:OFFSET($A88,-1,0),0)))))</f>
        <v/>
      </c>
      <c r="N88" s="177" t="str">
        <f ca="1">IF($D88&lt;&gt;"Serviço","",IF(AUTOEVENTO="Manual",IF($A88=0,"&lt;-- defina o número do agrupador",OFFSET(EVENTOS!$D$14,$A88,0)),OFFSET($F$15,$A88,0)))</f>
        <v/>
      </c>
      <c r="O88" s="178"/>
      <c r="Q88" s="178"/>
      <c r="R88" s="179"/>
      <c r="S88" s="179"/>
      <c r="T88" s="179"/>
      <c r="U88" s="179"/>
      <c r="V88" s="179"/>
      <c r="W88" s="179"/>
      <c r="X88" s="179"/>
      <c r="Y88" s="179"/>
      <c r="Z88" s="180"/>
      <c r="AB88" s="544">
        <f ca="1">IF(AND($D88="Serviço",AB$12&lt;&gt;0,$H88&gt;0,OR(AUTOEVENTO&lt;&gt;"manual",$M88&lt;&gt;1)), IF(Import.TipoArredondamento&lt;&gt;"TransfereGOV", ROUND(OFFSET($P88,0,AB$13),15-13*ORÇAMENTO!$AF$7)/$H88*OFFSET(ORÇAMENTO!$X$15,ROW(AB88)-ROW(AB$15),0), ROUND(ROUND(OFFSET($P88,0,AB$13),15-13*ORÇAMENTO!$AF$7)*OFFSET(ORÇAMENTO!$W$15,ROW(AB88)-ROW(AB$15),0),15-13*ORÇAMENTO!$AF$11)),0)</f>
        <v>0</v>
      </c>
      <c r="AC88" s="545">
        <f ca="1">IF(AND($D88="Serviço",AC$12&lt;&gt;0,$H88&gt;0,OR(AUTOEVENTO&lt;&gt;"manual",$M88&lt;&gt;1)), IF(Import.TipoArredondamento&lt;&gt;"TransfereGOV", ROUND(OFFSET($P88,0,AC$13),15-13*ORÇAMENTO!$AF$7)/$H88*OFFSET(ORÇAMENTO!$X$15,ROW(AC88)-ROW(AC$15),0), ROUND(ROUND(OFFSET($P88,0,AC$13),15-13*ORÇAMENTO!$AF$7)*OFFSET(ORÇAMENTO!$W$15,ROW(AC88)-ROW(AC$15),0),15-13*ORÇAMENTO!$AF$11)),0)</f>
        <v>0</v>
      </c>
      <c r="AD88" s="545">
        <f ca="1">IF(AND($D88="Serviço",AD$12&lt;&gt;0,$H88&gt;0,OR(AUTOEVENTO&lt;&gt;"manual",$M88&lt;&gt;1)), IF(Import.TipoArredondamento&lt;&gt;"TransfereGOV", ROUND(OFFSET($P88,0,AD$13),15-13*ORÇAMENTO!$AF$7)/$H88*OFFSET(ORÇAMENTO!$X$15,ROW(AD88)-ROW(AD$15),0), ROUND(ROUND(OFFSET($P88,0,AD$13),15-13*ORÇAMENTO!$AF$7)*OFFSET(ORÇAMENTO!$W$15,ROW(AD88)-ROW(AD$15),0),15-13*ORÇAMENTO!$AF$11)),0)</f>
        <v>0</v>
      </c>
      <c r="AE88" s="545">
        <f ca="1">IF(AND($D88="Serviço",AE$12&lt;&gt;0,$H88&gt;0,OR(AUTOEVENTO&lt;&gt;"manual",$M88&lt;&gt;1)), IF(Import.TipoArredondamento&lt;&gt;"TransfereGOV", ROUND(OFFSET($P88,0,AE$13),15-13*ORÇAMENTO!$AF$7)/$H88*OFFSET(ORÇAMENTO!$X$15,ROW(AE88)-ROW(AE$15),0), ROUND(ROUND(OFFSET($P88,0,AE$13),15-13*ORÇAMENTO!$AF$7)*OFFSET(ORÇAMENTO!$W$15,ROW(AE88)-ROW(AE$15),0),15-13*ORÇAMENTO!$AF$11)),0)</f>
        <v>0</v>
      </c>
      <c r="AF88" s="545">
        <f ca="1">IF(AND($D88="Serviço",AF$12&lt;&gt;0,$H88&gt;0,OR(AUTOEVENTO&lt;&gt;"manual",$M88&lt;&gt;1)), IF(Import.TipoArredondamento&lt;&gt;"TransfereGOV", ROUND(OFFSET($P88,0,AF$13),15-13*ORÇAMENTO!$AF$7)/$H88*OFFSET(ORÇAMENTO!$X$15,ROW(AF88)-ROW(AF$15),0), ROUND(ROUND(OFFSET($P88,0,AF$13),15-13*ORÇAMENTO!$AF$7)*OFFSET(ORÇAMENTO!$W$15,ROW(AF88)-ROW(AF$15),0),15-13*ORÇAMENTO!$AF$11)),0)</f>
        <v>0</v>
      </c>
      <c r="AG88" s="545">
        <f ca="1">IF(AND($D88="Serviço",AG$12&lt;&gt;0,$H88&gt;0,OR(AUTOEVENTO&lt;&gt;"manual",$M88&lt;&gt;1)), IF(Import.TipoArredondamento&lt;&gt;"TransfereGOV", ROUND(OFFSET($P88,0,AG$13),15-13*ORÇAMENTO!$AF$7)/$H88*OFFSET(ORÇAMENTO!$X$15,ROW(AG88)-ROW(AG$15),0), ROUND(ROUND(OFFSET($P88,0,AG$13),15-13*ORÇAMENTO!$AF$7)*OFFSET(ORÇAMENTO!$W$15,ROW(AG88)-ROW(AG$15),0),15-13*ORÇAMENTO!$AF$11)),0)</f>
        <v>0</v>
      </c>
      <c r="AH88" s="545">
        <f ca="1">IF(AND($D88="Serviço",AH$12&lt;&gt;0,$H88&gt;0,OR(AUTOEVENTO&lt;&gt;"manual",$M88&lt;&gt;1)), IF(Import.TipoArredondamento&lt;&gt;"TransfereGOV", ROUND(OFFSET($P88,0,AH$13),15-13*ORÇAMENTO!$AF$7)/$H88*OFFSET(ORÇAMENTO!$X$15,ROW(AH88)-ROW(AH$15),0), ROUND(ROUND(OFFSET($P88,0,AH$13),15-13*ORÇAMENTO!$AF$7)*OFFSET(ORÇAMENTO!$W$15,ROW(AH88)-ROW(AH$15),0),15-13*ORÇAMENTO!$AF$11)),0)</f>
        <v>0</v>
      </c>
      <c r="AI88" s="545">
        <f ca="1">IF(AND($D88="Serviço",AI$12&lt;&gt;0,$H88&gt;0,OR(AUTOEVENTO&lt;&gt;"manual",$M88&lt;&gt;1)), IF(Import.TipoArredondamento&lt;&gt;"TransfereGOV", ROUND(OFFSET($P88,0,AI$13),15-13*ORÇAMENTO!$AF$7)/$H88*OFFSET(ORÇAMENTO!$X$15,ROW(AI88)-ROW(AI$15),0), ROUND(ROUND(OFFSET($P88,0,AI$13),15-13*ORÇAMENTO!$AF$7)*OFFSET(ORÇAMENTO!$W$15,ROW(AI88)-ROW(AI$15),0),15-13*ORÇAMENTO!$AF$11)),0)</f>
        <v>0</v>
      </c>
      <c r="AJ88" s="545">
        <f ca="1">IF(AND($D88="Serviço",AJ$12&lt;&gt;0,$H88&gt;0,OR(AUTOEVENTO&lt;&gt;"manual",$M88&lt;&gt;1)), IF(Import.TipoArredondamento&lt;&gt;"TransfereGOV", ROUND(OFFSET($P88,0,AJ$13),15-13*ORÇAMENTO!$AF$7)/$H88*OFFSET(ORÇAMENTO!$X$15,ROW(AJ88)-ROW(AJ$15),0), ROUND(ROUND(OFFSET($P88,0,AJ$13),15-13*ORÇAMENTO!$AF$7)*OFFSET(ORÇAMENTO!$W$15,ROW(AJ88)-ROW(AJ$15),0),15-13*ORÇAMENTO!$AF$11)),0)</f>
        <v>0</v>
      </c>
      <c r="AK88" s="546">
        <f ca="1">IF(AND($D88="Serviço",AK$12&lt;&gt;0,$H88&gt;0,OR(AUTOEVENTO&lt;&gt;"manual",$M88&lt;&gt;1)), IF(Import.TipoArredondamento&lt;&gt;"TransfereGOV", ROUND(OFFSET($P88,0,AK$13),15-13*ORÇAMENTO!$AF$7)/$H88*OFFSET(ORÇAMENTO!$X$15,ROW(AK88)-ROW(AK$15),0), ROUND(ROUND(OFFSET($P88,0,AK$13),15-13*ORÇAMENTO!$AF$7)*OFFSET(ORÇAMENTO!$W$15,ROW(AK88)-ROW(AK$15),0),15-13*ORÇAMENTO!$AF$11)),0)</f>
        <v>0</v>
      </c>
      <c r="AM88" s="181">
        <f ca="1">IF($D88&lt;&gt;"Serviço",0,IF(AND(AUTOEVENTO="Manual",$M88=1),0,IF(OFFSET(CRONOPLE!$F$14,$M88,AM$13)="",10^12,OFFSET(CRONOPLE!$F$14,$M88,AM$13))))</f>
        <v>0</v>
      </c>
      <c r="AN88" s="181">
        <f ca="1">IF($D88&lt;&gt;"Serviço",0,IF(AND(AUTOEVENTO="Manual",$M88=1),0,IF(OFFSET(CRONOPLE!$F$14,$M88,AN$13)="",10^12,OFFSET(CRONOPLE!$F$14,$M88,AN$13))))</f>
        <v>0</v>
      </c>
      <c r="AO88" s="181">
        <f ca="1">IF($D88&lt;&gt;"Serviço",0,IF(AND(AUTOEVENTO="Manual",$M88=1),0,IF(OFFSET(CRONOPLE!$F$14,$M88,AO$13)="",10^12,OFFSET(CRONOPLE!$F$14,$M88,AO$13))))</f>
        <v>0</v>
      </c>
      <c r="AP88" s="181">
        <f ca="1">IF($D88&lt;&gt;"Serviço",0,IF(AND(AUTOEVENTO="Manual",$M88=1),0,IF(OFFSET(CRONOPLE!$F$14,$M88,AP$13)="",10^12,OFFSET(CRONOPLE!$F$14,$M88,AP$13))))</f>
        <v>0</v>
      </c>
      <c r="AQ88" s="181">
        <f ca="1">IF($D88&lt;&gt;"Serviço",0,IF(AND(AUTOEVENTO="Manual",$M88=1),0,IF(OFFSET(CRONOPLE!$F$14,$M88,AQ$13)="",10^12,OFFSET(CRONOPLE!$F$14,$M88,AQ$13))))</f>
        <v>0</v>
      </c>
      <c r="AR88" s="181">
        <f ca="1">IF($D88&lt;&gt;"Serviço",0,IF(AND(AUTOEVENTO="Manual",$M88=1),0,IF(OFFSET(CRONOPLE!$F$14,$M88,AR$13)="",10^12,OFFSET(CRONOPLE!$F$14,$M88,AR$13))))</f>
        <v>0</v>
      </c>
      <c r="AS88" s="181">
        <f ca="1">IF($D88&lt;&gt;"Serviço",0,IF(AND(AUTOEVENTO="Manual",$M88=1),0,IF(OFFSET(CRONOPLE!$F$14,$M88,AS$13)="",10^12,OFFSET(CRONOPLE!$F$14,$M88,AS$13))))</f>
        <v>0</v>
      </c>
      <c r="AT88" s="181">
        <f ca="1">IF($D88&lt;&gt;"Serviço",0,IF(AND(AUTOEVENTO="Manual",$M88=1),0,IF(OFFSET(CRONOPLE!$F$14,$M88,AT$13)="",10^12,OFFSET(CRONOPLE!$F$14,$M88,AT$13))))</f>
        <v>0</v>
      </c>
      <c r="AU88" s="181">
        <f ca="1">IF($D88&lt;&gt;"Serviço",0,IF(AND(AUTOEVENTO="Manual",$M88=1),0,IF(OFFSET(CRONOPLE!$F$14,$M88,AU$13)="",10^12,OFFSET(CRONOPLE!$F$14,$M88,AU$13))))</f>
        <v>0</v>
      </c>
      <c r="AV88" s="181">
        <f ca="1">IF($D88&lt;&gt;"Serviço",0,IF(AND(AUTOEVENTO="Manual",$M88=1),0,IF(OFFSET(CRONOPLE!$F$14,$M88,AV$13)="",10^12,OFFSET(CRONOPLE!$F$14,$M88,AV$13))))</f>
        <v>0</v>
      </c>
      <c r="AX88" s="182">
        <f ca="1">IF($D88&lt;&gt;"Serviço",0,IF(OR(AND(AUTOEVENTO="Manual",$M88=1),$M88&gt;(ROW(PLE.lastrow)-ROW(PLE.firstrow))),0,IF(OFFSET(PLE!$G$14,$M88,AX$13)="",10^12,OFFSET(PLE!$G$14,$M88,AX$13))))</f>
        <v>0</v>
      </c>
      <c r="AY88" s="182">
        <f ca="1">IF($D88&lt;&gt;"Serviço",0,IF(OR(AND(AUTOEVENTO="Manual",$M88=1),$M88&gt;(ROW(PLE.lastrow)-ROW(PLE.firstrow))),0,IF(OFFSET(PLE!$G$14,$M88,AY$13)="",10^12,OFFSET(PLE!$G$14,$M88,AY$13))))</f>
        <v>0</v>
      </c>
      <c r="AZ88" s="182">
        <f ca="1">IF($D88&lt;&gt;"Serviço",0,IF(OR(AND(AUTOEVENTO="Manual",$M88=1),$M88&gt;(ROW(PLE.lastrow)-ROW(PLE.firstrow))),0,IF(OFFSET(PLE!$G$14,$M88,AZ$13)="",10^12,OFFSET(PLE!$G$14,$M88,AZ$13))))</f>
        <v>0</v>
      </c>
      <c r="BA88" s="182">
        <f ca="1">IF($D88&lt;&gt;"Serviço",0,IF(OR(AND(AUTOEVENTO="Manual",$M88=1),$M88&gt;(ROW(PLE.lastrow)-ROW(PLE.firstrow))),0,IF(OFFSET(PLE!$G$14,$M88,BA$13)="",10^12,OFFSET(PLE!$G$14,$M88,BA$13))))</f>
        <v>0</v>
      </c>
      <c r="BB88" s="182">
        <f ca="1">IF($D88&lt;&gt;"Serviço",0,IF(OR(AND(AUTOEVENTO="Manual",$M88=1),$M88&gt;(ROW(PLE.lastrow)-ROW(PLE.firstrow))),0,IF(OFFSET(PLE!$G$14,$M88,BB$13)="",10^12,OFFSET(PLE!$G$14,$M88,BB$13))))</f>
        <v>0</v>
      </c>
      <c r="BC88" s="182">
        <f ca="1">IF($D88&lt;&gt;"Serviço",0,IF(OR(AND(AUTOEVENTO="Manual",$M88=1),$M88&gt;(ROW(PLE.lastrow)-ROW(PLE.firstrow))),0,IF(OFFSET(PLE!$G$14,$M88,BC$13)="",10^12,OFFSET(PLE!$G$14,$M88,BC$13))))</f>
        <v>0</v>
      </c>
      <c r="BD88" s="182">
        <f ca="1">IF($D88&lt;&gt;"Serviço",0,IF(OR(AND(AUTOEVENTO="Manual",$M88=1),$M88&gt;(ROW(PLE.lastrow)-ROW(PLE.firstrow))),0,IF(OFFSET(PLE!$G$14,$M88,BD$13)="",10^12,OFFSET(PLE!$G$14,$M88,BD$13))))</f>
        <v>0</v>
      </c>
      <c r="BE88" s="182">
        <f ca="1">IF($D88&lt;&gt;"Serviço",0,IF(OR(AND(AUTOEVENTO="Manual",$M88=1),$M88&gt;(ROW(PLE.lastrow)-ROW(PLE.firstrow))),0,IF(OFFSET(PLE!$G$14,$M88,BE$13)="",10^12,OFFSET(PLE!$G$14,$M88,BE$13))))</f>
        <v>0</v>
      </c>
      <c r="BF88" s="182">
        <f ca="1">IF($D88&lt;&gt;"Serviço",0,IF(OR(AND(AUTOEVENTO="Manual",$M88=1),$M88&gt;(ROW(PLE.lastrow)-ROW(PLE.firstrow))),0,IF(OFFSET(PLE!$G$14,$M88,BF$13)="",10^12,OFFSET(PLE!$G$14,$M88,BF$13))))</f>
        <v>0</v>
      </c>
      <c r="BG88" s="182">
        <f ca="1">IF($D88&lt;&gt;"Serviço",0,IF(OR(AND(AUTOEVENTO="Manual",$M88=1),$M88&gt;(ROW(PLE.lastrow)-ROW(PLE.firstrow))),0,IF(OFFSET(PLE!$G$14,$M88,BG$13)="",10^12,OFFSET(PLE!$G$14,$M88,BG$13))))</f>
        <v>0</v>
      </c>
    </row>
    <row r="89" spans="1:59" ht="25.5" x14ac:dyDescent="0.2">
      <c r="A89" s="7" t="str">
        <f t="shared" ca="1" si="8"/>
        <v>73</v>
      </c>
      <c r="B89" s="7" t="str">
        <f ca="1">OFFSET(ORÇAMENTO!C$15,ROW(B89)-ROW(B$15),0)</f>
        <v>S</v>
      </c>
      <c r="C89" s="7" t="str">
        <f ca="1">OFFSET(ORÇAMENTO!L$15,ROW(C89)-ROW(C$15),0)</f>
        <v>F</v>
      </c>
      <c r="D89" s="118" t="str">
        <f ca="1">OFFSET(ORÇAMENTO!N$15,ROW(D89)-ROW(D$15),0)</f>
        <v>Serviço</v>
      </c>
      <c r="E89" s="119" t="str">
        <f ca="1">OFFSET(ORÇAMENTO!O$15,ROW(E89)-ROW(E$15),0)</f>
        <v>3.1.1.</v>
      </c>
      <c r="F89" s="172" t="str">
        <f ca="1">OFFSET(ORÇAMENTO!R$15,ROW(F89)-ROW(F$15),0)</f>
        <v>Placa em aço - 3,00 x 1,50 m - película retrorrefletiva tipo I + I - fornecimento e implantação</v>
      </c>
      <c r="G89" s="173" t="str">
        <f ca="1">IF($D89&lt;&gt;"Serviço","",OFFSET(ORÇAMENTO!S$15,ROW(G89)-ROW(G$15),0))</f>
        <v>un</v>
      </c>
      <c r="H89" s="124">
        <f ca="1">IF($D89&lt;&gt;"Serviço",0,IF(ACOMPANHAMENTO="BM",ROUND(OFFSET(ORÇAMENTO!AJ$15,ROW(H89)-ROW(H$15),0),15-13*ORÇAMENTO!$AF$7),SUMPRODUCT(($Q$12:$AA$12&lt;&gt;"")*ROUND($Q89:$AA89,15-13*ORÇAMENTO!$AF$7))))</f>
        <v>1</v>
      </c>
      <c r="I89" s="561"/>
      <c r="K89" s="174"/>
      <c r="L89" s="175" t="s">
        <v>255</v>
      </c>
      <c r="M89" s="176">
        <f ca="1">IF($D89&lt;&gt;"Serviço","",IF(AUTOEVENTO="manual",$A89,IF(ISERROR(MATCH($A89,$A$15:OFFSET($A89,-1,0),0)),MAX($M$15:OFFSET(M89,-1,0))+1,INDEX($M$15:OFFSET(M89,-1,0),MATCH($A89,$A$15:OFFSET($A89,-1,0),0)))))</f>
        <v>12</v>
      </c>
      <c r="N89" s="177" t="str">
        <f ca="1">IF($D89&lt;&gt;"Serviço","",IF(AUTOEVENTO="Manual",IF($A89=0,"&lt;-- defina o número do agrupador",OFFSET(EVENTOS!$D$14,$A89,0)),OFFSET($F$15,$A89,0)))</f>
        <v xml:space="preserve">SERVIÇOS INICIAIS </v>
      </c>
      <c r="O89" s="178"/>
      <c r="Q89" s="178"/>
      <c r="R89" s="179"/>
      <c r="S89" s="179"/>
      <c r="T89" s="179"/>
      <c r="U89" s="179"/>
      <c r="V89" s="179"/>
      <c r="W89" s="179"/>
      <c r="X89" s="179"/>
      <c r="Y89" s="179"/>
      <c r="Z89" s="180"/>
      <c r="AB89" s="544">
        <f ca="1">IF(AND($D89="Serviço",AB$12&lt;&gt;0,$H89&gt;0,OR(AUTOEVENTO&lt;&gt;"manual",$M89&lt;&gt;1)), IF(Import.TipoArredondamento&lt;&gt;"TransfereGOV", ROUND(OFFSET($P89,0,AB$13),15-13*ORÇAMENTO!$AF$7)/$H89*OFFSET(ORÇAMENTO!$X$15,ROW(AB89)-ROW(AB$15),0), ROUND(ROUND(OFFSET($P89,0,AB$13),15-13*ORÇAMENTO!$AF$7)*OFFSET(ORÇAMENTO!$W$15,ROW(AB89)-ROW(AB$15),0),15-13*ORÇAMENTO!$AF$11)),0)</f>
        <v>0</v>
      </c>
      <c r="AC89" s="545">
        <f ca="1">IF(AND($D89="Serviço",AC$12&lt;&gt;0,$H89&gt;0,OR(AUTOEVENTO&lt;&gt;"manual",$M89&lt;&gt;1)), IF(Import.TipoArredondamento&lt;&gt;"TransfereGOV", ROUND(OFFSET($P89,0,AC$13),15-13*ORÇAMENTO!$AF$7)/$H89*OFFSET(ORÇAMENTO!$X$15,ROW(AC89)-ROW(AC$15),0), ROUND(ROUND(OFFSET($P89,0,AC$13),15-13*ORÇAMENTO!$AF$7)*OFFSET(ORÇAMENTO!$W$15,ROW(AC89)-ROW(AC$15),0),15-13*ORÇAMENTO!$AF$11)),0)</f>
        <v>0</v>
      </c>
      <c r="AD89" s="545">
        <f ca="1">IF(AND($D89="Serviço",AD$12&lt;&gt;0,$H89&gt;0,OR(AUTOEVENTO&lt;&gt;"manual",$M89&lt;&gt;1)), IF(Import.TipoArredondamento&lt;&gt;"TransfereGOV", ROUND(OFFSET($P89,0,AD$13),15-13*ORÇAMENTO!$AF$7)/$H89*OFFSET(ORÇAMENTO!$X$15,ROW(AD89)-ROW(AD$15),0), ROUND(ROUND(OFFSET($P89,0,AD$13),15-13*ORÇAMENTO!$AF$7)*OFFSET(ORÇAMENTO!$W$15,ROW(AD89)-ROW(AD$15),0),15-13*ORÇAMENTO!$AF$11)),0)</f>
        <v>0</v>
      </c>
      <c r="AE89" s="545">
        <f ca="1">IF(AND($D89="Serviço",AE$12&lt;&gt;0,$H89&gt;0,OR(AUTOEVENTO&lt;&gt;"manual",$M89&lt;&gt;1)), IF(Import.TipoArredondamento&lt;&gt;"TransfereGOV", ROUND(OFFSET($P89,0,AE$13),15-13*ORÇAMENTO!$AF$7)/$H89*OFFSET(ORÇAMENTO!$X$15,ROW(AE89)-ROW(AE$15),0), ROUND(ROUND(OFFSET($P89,0,AE$13),15-13*ORÇAMENTO!$AF$7)*OFFSET(ORÇAMENTO!$W$15,ROW(AE89)-ROW(AE$15),0),15-13*ORÇAMENTO!$AF$11)),0)</f>
        <v>0</v>
      </c>
      <c r="AF89" s="545">
        <f ca="1">IF(AND($D89="Serviço",AF$12&lt;&gt;0,$H89&gt;0,OR(AUTOEVENTO&lt;&gt;"manual",$M89&lt;&gt;1)), IF(Import.TipoArredondamento&lt;&gt;"TransfereGOV", ROUND(OFFSET($P89,0,AF$13),15-13*ORÇAMENTO!$AF$7)/$H89*OFFSET(ORÇAMENTO!$X$15,ROW(AF89)-ROW(AF$15),0), ROUND(ROUND(OFFSET($P89,0,AF$13),15-13*ORÇAMENTO!$AF$7)*OFFSET(ORÇAMENTO!$W$15,ROW(AF89)-ROW(AF$15),0),15-13*ORÇAMENTO!$AF$11)),0)</f>
        <v>0</v>
      </c>
      <c r="AG89" s="545">
        <f ca="1">IF(AND($D89="Serviço",AG$12&lt;&gt;0,$H89&gt;0,OR(AUTOEVENTO&lt;&gt;"manual",$M89&lt;&gt;1)), IF(Import.TipoArredondamento&lt;&gt;"TransfereGOV", ROUND(OFFSET($P89,0,AG$13),15-13*ORÇAMENTO!$AF$7)/$H89*OFFSET(ORÇAMENTO!$X$15,ROW(AG89)-ROW(AG$15),0), ROUND(ROUND(OFFSET($P89,0,AG$13),15-13*ORÇAMENTO!$AF$7)*OFFSET(ORÇAMENTO!$W$15,ROW(AG89)-ROW(AG$15),0),15-13*ORÇAMENTO!$AF$11)),0)</f>
        <v>0</v>
      </c>
      <c r="AH89" s="545">
        <f ca="1">IF(AND($D89="Serviço",AH$12&lt;&gt;0,$H89&gt;0,OR(AUTOEVENTO&lt;&gt;"manual",$M89&lt;&gt;1)), IF(Import.TipoArredondamento&lt;&gt;"TransfereGOV", ROUND(OFFSET($P89,0,AH$13),15-13*ORÇAMENTO!$AF$7)/$H89*OFFSET(ORÇAMENTO!$X$15,ROW(AH89)-ROW(AH$15),0), ROUND(ROUND(OFFSET($P89,0,AH$13),15-13*ORÇAMENTO!$AF$7)*OFFSET(ORÇAMENTO!$W$15,ROW(AH89)-ROW(AH$15),0),15-13*ORÇAMENTO!$AF$11)),0)</f>
        <v>0</v>
      </c>
      <c r="AI89" s="545">
        <f ca="1">IF(AND($D89="Serviço",AI$12&lt;&gt;0,$H89&gt;0,OR(AUTOEVENTO&lt;&gt;"manual",$M89&lt;&gt;1)), IF(Import.TipoArredondamento&lt;&gt;"TransfereGOV", ROUND(OFFSET($P89,0,AI$13),15-13*ORÇAMENTO!$AF$7)/$H89*OFFSET(ORÇAMENTO!$X$15,ROW(AI89)-ROW(AI$15),0), ROUND(ROUND(OFFSET($P89,0,AI$13),15-13*ORÇAMENTO!$AF$7)*OFFSET(ORÇAMENTO!$W$15,ROW(AI89)-ROW(AI$15),0),15-13*ORÇAMENTO!$AF$11)),0)</f>
        <v>0</v>
      </c>
      <c r="AJ89" s="545">
        <f ca="1">IF(AND($D89="Serviço",AJ$12&lt;&gt;0,$H89&gt;0,OR(AUTOEVENTO&lt;&gt;"manual",$M89&lt;&gt;1)), IF(Import.TipoArredondamento&lt;&gt;"TransfereGOV", ROUND(OFFSET($P89,0,AJ$13),15-13*ORÇAMENTO!$AF$7)/$H89*OFFSET(ORÇAMENTO!$X$15,ROW(AJ89)-ROW(AJ$15),0), ROUND(ROUND(OFFSET($P89,0,AJ$13),15-13*ORÇAMENTO!$AF$7)*OFFSET(ORÇAMENTO!$W$15,ROW(AJ89)-ROW(AJ$15),0),15-13*ORÇAMENTO!$AF$11)),0)</f>
        <v>0</v>
      </c>
      <c r="AK89" s="546">
        <f ca="1">IF(AND($D89="Serviço",AK$12&lt;&gt;0,$H89&gt;0,OR(AUTOEVENTO&lt;&gt;"manual",$M89&lt;&gt;1)), IF(Import.TipoArredondamento&lt;&gt;"TransfereGOV", ROUND(OFFSET($P89,0,AK$13),15-13*ORÇAMENTO!$AF$7)/$H89*OFFSET(ORÇAMENTO!$X$15,ROW(AK89)-ROW(AK$15),0), ROUND(ROUND(OFFSET($P89,0,AK$13),15-13*ORÇAMENTO!$AF$7)*OFFSET(ORÇAMENTO!$W$15,ROW(AK89)-ROW(AK$15),0),15-13*ORÇAMENTO!$AF$11)),0)</f>
        <v>0</v>
      </c>
      <c r="AM89" s="181">
        <f ca="1">IF($D89&lt;&gt;"Serviço",0,IF(AND(AUTOEVENTO="Manual",$M89=1),0,IF(OFFSET(CRONOPLE!$F$14,$M89,AM$13)="",10^12,OFFSET(CRONOPLE!$F$14,$M89,AM$13))))</f>
        <v>1000000000000</v>
      </c>
      <c r="AN89" s="181">
        <f ca="1">IF($D89&lt;&gt;"Serviço",0,IF(AND(AUTOEVENTO="Manual",$M89=1),0,IF(OFFSET(CRONOPLE!$F$14,$M89,AN$13)="",10^12,OFFSET(CRONOPLE!$F$14,$M89,AN$13))))</f>
        <v>1000000000000</v>
      </c>
      <c r="AO89" s="181">
        <f ca="1">IF($D89&lt;&gt;"Serviço",0,IF(AND(AUTOEVENTO="Manual",$M89=1),0,IF(OFFSET(CRONOPLE!$F$14,$M89,AO$13)="",10^12,OFFSET(CRONOPLE!$F$14,$M89,AO$13))))</f>
        <v>1000000000000</v>
      </c>
      <c r="AP89" s="181">
        <f ca="1">IF($D89&lt;&gt;"Serviço",0,IF(AND(AUTOEVENTO="Manual",$M89=1),0,IF(OFFSET(CRONOPLE!$F$14,$M89,AP$13)="",10^12,OFFSET(CRONOPLE!$F$14,$M89,AP$13))))</f>
        <v>1000000000000</v>
      </c>
      <c r="AQ89" s="181">
        <f ca="1">IF($D89&lt;&gt;"Serviço",0,IF(AND(AUTOEVENTO="Manual",$M89=1),0,IF(OFFSET(CRONOPLE!$F$14,$M89,AQ$13)="",10^12,OFFSET(CRONOPLE!$F$14,$M89,AQ$13))))</f>
        <v>1000000000000</v>
      </c>
      <c r="AR89" s="181">
        <f ca="1">IF($D89&lt;&gt;"Serviço",0,IF(AND(AUTOEVENTO="Manual",$M89=1),0,IF(OFFSET(CRONOPLE!$F$14,$M89,AR$13)="",10^12,OFFSET(CRONOPLE!$F$14,$M89,AR$13))))</f>
        <v>1000000000000</v>
      </c>
      <c r="AS89" s="181">
        <f ca="1">IF($D89&lt;&gt;"Serviço",0,IF(AND(AUTOEVENTO="Manual",$M89=1),0,IF(OFFSET(CRONOPLE!$F$14,$M89,AS$13)="",10^12,OFFSET(CRONOPLE!$F$14,$M89,AS$13))))</f>
        <v>1000000000000</v>
      </c>
      <c r="AT89" s="181">
        <f ca="1">IF($D89&lt;&gt;"Serviço",0,IF(AND(AUTOEVENTO="Manual",$M89=1),0,IF(OFFSET(CRONOPLE!$F$14,$M89,AT$13)="",10^12,OFFSET(CRONOPLE!$F$14,$M89,AT$13))))</f>
        <v>1000000000000</v>
      </c>
      <c r="AU89" s="181">
        <f ca="1">IF($D89&lt;&gt;"Serviço",0,IF(AND(AUTOEVENTO="Manual",$M89=1),0,IF(OFFSET(CRONOPLE!$F$14,$M89,AU$13)="",10^12,OFFSET(CRONOPLE!$F$14,$M89,AU$13))))</f>
        <v>1000000000000</v>
      </c>
      <c r="AV89" s="181">
        <f ca="1">IF($D89&lt;&gt;"Serviço",0,IF(AND(AUTOEVENTO="Manual",$M89=1),0,IF(OFFSET(CRONOPLE!$F$14,$M89,AV$13)="",10^12,OFFSET(CRONOPLE!$F$14,$M89,AV$13))))</f>
        <v>1000000000000</v>
      </c>
      <c r="AX89" s="182">
        <f ca="1">IF($D89&lt;&gt;"Serviço",0,IF(OR(AND(AUTOEVENTO="Manual",$M89=1),$M89&gt;(ROW(PLE.lastrow)-ROW(PLE.firstrow))),0,IF(OFFSET(PLE!$G$14,$M89,AX$13)="",10^12,OFFSET(PLE!$G$14,$M89,AX$13))))</f>
        <v>1000000000000</v>
      </c>
      <c r="AY89" s="182">
        <f ca="1">IF($D89&lt;&gt;"Serviço",0,IF(OR(AND(AUTOEVENTO="Manual",$M89=1),$M89&gt;(ROW(PLE.lastrow)-ROW(PLE.firstrow))),0,IF(OFFSET(PLE!$G$14,$M89,AY$13)="",10^12,OFFSET(PLE!$G$14,$M89,AY$13))))</f>
        <v>1000000000000</v>
      </c>
      <c r="AZ89" s="182">
        <f ca="1">IF($D89&lt;&gt;"Serviço",0,IF(OR(AND(AUTOEVENTO="Manual",$M89=1),$M89&gt;(ROW(PLE.lastrow)-ROW(PLE.firstrow))),0,IF(OFFSET(PLE!$G$14,$M89,AZ$13)="",10^12,OFFSET(PLE!$G$14,$M89,AZ$13))))</f>
        <v>1000000000000</v>
      </c>
      <c r="BA89" s="182">
        <f ca="1">IF($D89&lt;&gt;"Serviço",0,IF(OR(AND(AUTOEVENTO="Manual",$M89=1),$M89&gt;(ROW(PLE.lastrow)-ROW(PLE.firstrow))),0,IF(OFFSET(PLE!$G$14,$M89,BA$13)="",10^12,OFFSET(PLE!$G$14,$M89,BA$13))))</f>
        <v>1000000000000</v>
      </c>
      <c r="BB89" s="182">
        <f ca="1">IF($D89&lt;&gt;"Serviço",0,IF(OR(AND(AUTOEVENTO="Manual",$M89=1),$M89&gt;(ROW(PLE.lastrow)-ROW(PLE.firstrow))),0,IF(OFFSET(PLE!$G$14,$M89,BB$13)="",10^12,OFFSET(PLE!$G$14,$M89,BB$13))))</f>
        <v>1000000000000</v>
      </c>
      <c r="BC89" s="182">
        <f ca="1">IF($D89&lt;&gt;"Serviço",0,IF(OR(AND(AUTOEVENTO="Manual",$M89=1),$M89&gt;(ROW(PLE.lastrow)-ROW(PLE.firstrow))),0,IF(OFFSET(PLE!$G$14,$M89,BC$13)="",10^12,OFFSET(PLE!$G$14,$M89,BC$13))))</f>
        <v>1000000000000</v>
      </c>
      <c r="BD89" s="182">
        <f ca="1">IF($D89&lt;&gt;"Serviço",0,IF(OR(AND(AUTOEVENTO="Manual",$M89=1),$M89&gt;(ROW(PLE.lastrow)-ROW(PLE.firstrow))),0,IF(OFFSET(PLE!$G$14,$M89,BD$13)="",10^12,OFFSET(PLE!$G$14,$M89,BD$13))))</f>
        <v>1000000000000</v>
      </c>
      <c r="BE89" s="182">
        <f ca="1">IF($D89&lt;&gt;"Serviço",0,IF(OR(AND(AUTOEVENTO="Manual",$M89=1),$M89&gt;(ROW(PLE.lastrow)-ROW(PLE.firstrow))),0,IF(OFFSET(PLE!$G$14,$M89,BE$13)="",10^12,OFFSET(PLE!$G$14,$M89,BE$13))))</f>
        <v>1000000000000</v>
      </c>
      <c r="BF89" s="182">
        <f ca="1">IF($D89&lt;&gt;"Serviço",0,IF(OR(AND(AUTOEVENTO="Manual",$M89=1),$M89&gt;(ROW(PLE.lastrow)-ROW(PLE.firstrow))),0,IF(OFFSET(PLE!$G$14,$M89,BF$13)="",10^12,OFFSET(PLE!$G$14,$M89,BF$13))))</f>
        <v>1000000000000</v>
      </c>
      <c r="BG89" s="182">
        <f ca="1">IF($D89&lt;&gt;"Serviço",0,IF(OR(AND(AUTOEVENTO="Manual",$M89=1),$M89&gt;(ROW(PLE.lastrow)-ROW(PLE.firstrow))),0,IF(OFFSET(PLE!$G$14,$M89,BG$13)="",10^12,OFFSET(PLE!$G$14,$M89,BG$13))))</f>
        <v>1000000000000</v>
      </c>
    </row>
    <row r="90" spans="1:59" s="577" customFormat="1" ht="25.5" x14ac:dyDescent="0.2">
      <c r="A90" s="7" t="str">
        <f ca="1">IF(AUTOEVENTO="Manual",IF(K90&lt;&gt;"",MIN(VALUE(LEFT(K90,FIND(".",K90)-1)),COUNTA(EVENTOS.Lista)),0),IF(OR($B90&gt;AUTOEVENTO,$B90="S",$B90=0),SUBSTITUTE(OFFSET($A90,-1,0),IF($D90="Serviço",".",""),""),ROW(A90)-ROW($A$15)&amp;"."))</f>
        <v>73</v>
      </c>
      <c r="B90" s="7" t="str">
        <f ca="1">OFFSET(ORÇAMENTO!C$15,ROW(B90)-ROW(B$15),0)</f>
        <v>S</v>
      </c>
      <c r="C90" s="7" t="str">
        <f ca="1">OFFSET(ORÇAMENTO!L$15,ROW(C90)-ROW(C$15),0)</f>
        <v>F</v>
      </c>
      <c r="D90" s="118" t="str">
        <f ca="1">OFFSET(ORÇAMENTO!N$15,ROW(D90)-ROW(D$15),0)</f>
        <v>Serviço</v>
      </c>
      <c r="E90" s="119" t="str">
        <f ca="1">OFFSET(ORÇAMENTO!O$15,ROW(E90)-ROW(E$15),0)</f>
        <v>3.1.2.</v>
      </c>
      <c r="F90" s="172" t="str">
        <f ca="1">OFFSET(ORÇAMENTO!R$15,ROW(F90)-ROW(F$15),0)</f>
        <v>Suporte para placa de sinalização em madeira de lei tratada 8 x 8 cm - fornecimento e implantação</v>
      </c>
      <c r="G90" s="173" t="str">
        <f ca="1">IF($D90&lt;&gt;"Serviço","",OFFSET(ORÇAMENTO!S$15,ROW(G90)-ROW(G$15),0))</f>
        <v>un</v>
      </c>
      <c r="H90" s="124">
        <f ca="1">IF($D90&lt;&gt;"Serviço",0,IF(ACOMPANHAMENTO="BM",ROUND(OFFSET(ORÇAMENTO!AJ$15,ROW(H90)-ROW(H$15),0),15-13*ORÇAMENTO!$AF$7),SUMPRODUCT(($Q$12:$AA$12&lt;&gt;"")*ROUND($Q90:$AA90,15-13*ORÇAMENTO!$AF$7))))</f>
        <v>1</v>
      </c>
      <c r="I90" s="561"/>
      <c r="K90" s="174"/>
      <c r="L90" s="175" t="s">
        <v>255</v>
      </c>
      <c r="M90" s="176">
        <f ca="1">IF($D90&lt;&gt;"Serviço","",IF(AUTOEVENTO="manual",$A90,IF(ISERROR(MATCH($A90,$A$15:OFFSET($A90,-1,0),0)),MAX($M$15:OFFSET(M90,-1,0))+1,INDEX($M$15:OFFSET(M90,-1,0),MATCH($A90,$A$15:OFFSET($A90,-1,0),0)))))</f>
        <v>12</v>
      </c>
      <c r="N90" s="177" t="str">
        <f ca="1">IF($D90&lt;&gt;"Serviço","",IF(AUTOEVENTO="Manual",IF($A90=0,"&lt;-- defina o número do agrupador",OFFSET(EVENTOS!$D$14,$A90,0)),OFFSET($F$15,$A90,0)))</f>
        <v xml:space="preserve">SERVIÇOS INICIAIS </v>
      </c>
      <c r="O90" s="178"/>
      <c r="Q90" s="178"/>
      <c r="R90" s="179"/>
      <c r="S90" s="179"/>
      <c r="T90" s="179"/>
      <c r="U90" s="179"/>
      <c r="V90" s="179"/>
      <c r="W90" s="179"/>
      <c r="X90" s="179"/>
      <c r="Y90" s="179"/>
      <c r="Z90" s="180"/>
      <c r="AB90" s="544">
        <f ca="1">IF(AND($D90="Serviço",AB$12&lt;&gt;0,$H90&gt;0,OR(AUTOEVENTO&lt;&gt;"manual",$M90&lt;&gt;1)), IF(Import.TipoArredondamento&lt;&gt;"TransfereGOV", ROUND(OFFSET($P90,0,AB$13),15-13*ORÇAMENTO!$AF$7)/$H90*OFFSET(ORÇAMENTO!$X$15,ROW(AB90)-ROW(AB$15),0), ROUND(ROUND(OFFSET($P90,0,AB$13),15-13*ORÇAMENTO!$AF$7)*OFFSET(ORÇAMENTO!$W$15,ROW(AB90)-ROW(AB$15),0),15-13*ORÇAMENTO!$AF$11)),0)</f>
        <v>0</v>
      </c>
      <c r="AC90" s="545">
        <f ca="1">IF(AND($D90="Serviço",AC$12&lt;&gt;0,$H90&gt;0,OR(AUTOEVENTO&lt;&gt;"manual",$M90&lt;&gt;1)), IF(Import.TipoArredondamento&lt;&gt;"TransfereGOV", ROUND(OFFSET($P90,0,AC$13),15-13*ORÇAMENTO!$AF$7)/$H90*OFFSET(ORÇAMENTO!$X$15,ROW(AC90)-ROW(AC$15),0), ROUND(ROUND(OFFSET($P90,0,AC$13),15-13*ORÇAMENTO!$AF$7)*OFFSET(ORÇAMENTO!$W$15,ROW(AC90)-ROW(AC$15),0),15-13*ORÇAMENTO!$AF$11)),0)</f>
        <v>0</v>
      </c>
      <c r="AD90" s="545">
        <f ca="1">IF(AND($D90="Serviço",AD$12&lt;&gt;0,$H90&gt;0,OR(AUTOEVENTO&lt;&gt;"manual",$M90&lt;&gt;1)), IF(Import.TipoArredondamento&lt;&gt;"TransfereGOV", ROUND(OFFSET($P90,0,AD$13),15-13*ORÇAMENTO!$AF$7)/$H90*OFFSET(ORÇAMENTO!$X$15,ROW(AD90)-ROW(AD$15),0), ROUND(ROUND(OFFSET($P90,0,AD$13),15-13*ORÇAMENTO!$AF$7)*OFFSET(ORÇAMENTO!$W$15,ROW(AD90)-ROW(AD$15),0),15-13*ORÇAMENTO!$AF$11)),0)</f>
        <v>0</v>
      </c>
      <c r="AE90" s="545">
        <f ca="1">IF(AND($D90="Serviço",AE$12&lt;&gt;0,$H90&gt;0,OR(AUTOEVENTO&lt;&gt;"manual",$M90&lt;&gt;1)), IF(Import.TipoArredondamento&lt;&gt;"TransfereGOV", ROUND(OFFSET($P90,0,AE$13),15-13*ORÇAMENTO!$AF$7)/$H90*OFFSET(ORÇAMENTO!$X$15,ROW(AE90)-ROW(AE$15),0), ROUND(ROUND(OFFSET($P90,0,AE$13),15-13*ORÇAMENTO!$AF$7)*OFFSET(ORÇAMENTO!$W$15,ROW(AE90)-ROW(AE$15),0),15-13*ORÇAMENTO!$AF$11)),0)</f>
        <v>0</v>
      </c>
      <c r="AF90" s="545">
        <f ca="1">IF(AND($D90="Serviço",AF$12&lt;&gt;0,$H90&gt;0,OR(AUTOEVENTO&lt;&gt;"manual",$M90&lt;&gt;1)), IF(Import.TipoArredondamento&lt;&gt;"TransfereGOV", ROUND(OFFSET($P90,0,AF$13),15-13*ORÇAMENTO!$AF$7)/$H90*OFFSET(ORÇAMENTO!$X$15,ROW(AF90)-ROW(AF$15),0), ROUND(ROUND(OFFSET($P90,0,AF$13),15-13*ORÇAMENTO!$AF$7)*OFFSET(ORÇAMENTO!$W$15,ROW(AF90)-ROW(AF$15),0),15-13*ORÇAMENTO!$AF$11)),0)</f>
        <v>0</v>
      </c>
      <c r="AG90" s="545">
        <f ca="1">IF(AND($D90="Serviço",AG$12&lt;&gt;0,$H90&gt;0,OR(AUTOEVENTO&lt;&gt;"manual",$M90&lt;&gt;1)), IF(Import.TipoArredondamento&lt;&gt;"TransfereGOV", ROUND(OFFSET($P90,0,AG$13),15-13*ORÇAMENTO!$AF$7)/$H90*OFFSET(ORÇAMENTO!$X$15,ROW(AG90)-ROW(AG$15),0), ROUND(ROUND(OFFSET($P90,0,AG$13),15-13*ORÇAMENTO!$AF$7)*OFFSET(ORÇAMENTO!$W$15,ROW(AG90)-ROW(AG$15),0),15-13*ORÇAMENTO!$AF$11)),0)</f>
        <v>0</v>
      </c>
      <c r="AH90" s="545">
        <f ca="1">IF(AND($D90="Serviço",AH$12&lt;&gt;0,$H90&gt;0,OR(AUTOEVENTO&lt;&gt;"manual",$M90&lt;&gt;1)), IF(Import.TipoArredondamento&lt;&gt;"TransfereGOV", ROUND(OFFSET($P90,0,AH$13),15-13*ORÇAMENTO!$AF$7)/$H90*OFFSET(ORÇAMENTO!$X$15,ROW(AH90)-ROW(AH$15),0), ROUND(ROUND(OFFSET($P90,0,AH$13),15-13*ORÇAMENTO!$AF$7)*OFFSET(ORÇAMENTO!$W$15,ROW(AH90)-ROW(AH$15),0),15-13*ORÇAMENTO!$AF$11)),0)</f>
        <v>0</v>
      </c>
      <c r="AI90" s="545">
        <f ca="1">IF(AND($D90="Serviço",AI$12&lt;&gt;0,$H90&gt;0,OR(AUTOEVENTO&lt;&gt;"manual",$M90&lt;&gt;1)), IF(Import.TipoArredondamento&lt;&gt;"TransfereGOV", ROUND(OFFSET($P90,0,AI$13),15-13*ORÇAMENTO!$AF$7)/$H90*OFFSET(ORÇAMENTO!$X$15,ROW(AI90)-ROW(AI$15),0), ROUND(ROUND(OFFSET($P90,0,AI$13),15-13*ORÇAMENTO!$AF$7)*OFFSET(ORÇAMENTO!$W$15,ROW(AI90)-ROW(AI$15),0),15-13*ORÇAMENTO!$AF$11)),0)</f>
        <v>0</v>
      </c>
      <c r="AJ90" s="545">
        <f ca="1">IF(AND($D90="Serviço",AJ$12&lt;&gt;0,$H90&gt;0,OR(AUTOEVENTO&lt;&gt;"manual",$M90&lt;&gt;1)), IF(Import.TipoArredondamento&lt;&gt;"TransfereGOV", ROUND(OFFSET($P90,0,AJ$13),15-13*ORÇAMENTO!$AF$7)/$H90*OFFSET(ORÇAMENTO!$X$15,ROW(AJ90)-ROW(AJ$15),0), ROUND(ROUND(OFFSET($P90,0,AJ$13),15-13*ORÇAMENTO!$AF$7)*OFFSET(ORÇAMENTO!$W$15,ROW(AJ90)-ROW(AJ$15),0),15-13*ORÇAMENTO!$AF$11)),0)</f>
        <v>0</v>
      </c>
      <c r="AK90" s="546">
        <f ca="1">IF(AND($D90="Serviço",AK$12&lt;&gt;0,$H90&gt;0,OR(AUTOEVENTO&lt;&gt;"manual",$M90&lt;&gt;1)), IF(Import.TipoArredondamento&lt;&gt;"TransfereGOV", ROUND(OFFSET($P90,0,AK$13),15-13*ORÇAMENTO!$AF$7)/$H90*OFFSET(ORÇAMENTO!$X$15,ROW(AK90)-ROW(AK$15),0), ROUND(ROUND(OFFSET($P90,0,AK$13),15-13*ORÇAMENTO!$AF$7)*OFFSET(ORÇAMENTO!$W$15,ROW(AK90)-ROW(AK$15),0),15-13*ORÇAMENTO!$AF$11)),0)</f>
        <v>0</v>
      </c>
      <c r="AM90" s="181">
        <f ca="1">IF($D90&lt;&gt;"Serviço",0,IF(AND(AUTOEVENTO="Manual",$M90=1),0,IF(OFFSET(CRONOPLE!$F$14,$M90,AM$13)="",10^12,OFFSET(CRONOPLE!$F$14,$M90,AM$13))))</f>
        <v>1000000000000</v>
      </c>
      <c r="AN90" s="181">
        <f ca="1">IF($D90&lt;&gt;"Serviço",0,IF(AND(AUTOEVENTO="Manual",$M90=1),0,IF(OFFSET(CRONOPLE!$F$14,$M90,AN$13)="",10^12,OFFSET(CRONOPLE!$F$14,$M90,AN$13))))</f>
        <v>1000000000000</v>
      </c>
      <c r="AO90" s="181">
        <f ca="1">IF($D90&lt;&gt;"Serviço",0,IF(AND(AUTOEVENTO="Manual",$M90=1),0,IF(OFFSET(CRONOPLE!$F$14,$M90,AO$13)="",10^12,OFFSET(CRONOPLE!$F$14,$M90,AO$13))))</f>
        <v>1000000000000</v>
      </c>
      <c r="AP90" s="181">
        <f ca="1">IF($D90&lt;&gt;"Serviço",0,IF(AND(AUTOEVENTO="Manual",$M90=1),0,IF(OFFSET(CRONOPLE!$F$14,$M90,AP$13)="",10^12,OFFSET(CRONOPLE!$F$14,$M90,AP$13))))</f>
        <v>1000000000000</v>
      </c>
      <c r="AQ90" s="181">
        <f ca="1">IF($D90&lt;&gt;"Serviço",0,IF(AND(AUTOEVENTO="Manual",$M90=1),0,IF(OFFSET(CRONOPLE!$F$14,$M90,AQ$13)="",10^12,OFFSET(CRONOPLE!$F$14,$M90,AQ$13))))</f>
        <v>1000000000000</v>
      </c>
      <c r="AR90" s="181">
        <f ca="1">IF($D90&lt;&gt;"Serviço",0,IF(AND(AUTOEVENTO="Manual",$M90=1),0,IF(OFFSET(CRONOPLE!$F$14,$M90,AR$13)="",10^12,OFFSET(CRONOPLE!$F$14,$M90,AR$13))))</f>
        <v>1000000000000</v>
      </c>
      <c r="AS90" s="181">
        <f ca="1">IF($D90&lt;&gt;"Serviço",0,IF(AND(AUTOEVENTO="Manual",$M90=1),0,IF(OFFSET(CRONOPLE!$F$14,$M90,AS$13)="",10^12,OFFSET(CRONOPLE!$F$14,$M90,AS$13))))</f>
        <v>1000000000000</v>
      </c>
      <c r="AT90" s="181">
        <f ca="1">IF($D90&lt;&gt;"Serviço",0,IF(AND(AUTOEVENTO="Manual",$M90=1),0,IF(OFFSET(CRONOPLE!$F$14,$M90,AT$13)="",10^12,OFFSET(CRONOPLE!$F$14,$M90,AT$13))))</f>
        <v>1000000000000</v>
      </c>
      <c r="AU90" s="181">
        <f ca="1">IF($D90&lt;&gt;"Serviço",0,IF(AND(AUTOEVENTO="Manual",$M90=1),0,IF(OFFSET(CRONOPLE!$F$14,$M90,AU$13)="",10^12,OFFSET(CRONOPLE!$F$14,$M90,AU$13))))</f>
        <v>1000000000000</v>
      </c>
      <c r="AV90" s="181">
        <f ca="1">IF($D90&lt;&gt;"Serviço",0,IF(AND(AUTOEVENTO="Manual",$M90=1),0,IF(OFFSET(CRONOPLE!$F$14,$M90,AV$13)="",10^12,OFFSET(CRONOPLE!$F$14,$M90,AV$13))))</f>
        <v>1000000000000</v>
      </c>
      <c r="AX90" s="182">
        <f ca="1">IF($D90&lt;&gt;"Serviço",0,IF(OR(AND(AUTOEVENTO="Manual",$M90=1),$M90&gt;(ROW(PLE.lastrow)-ROW(PLE.firstrow))),0,IF(OFFSET(PLE!$G$14,$M90,AX$13)="",10^12,OFFSET(PLE!$G$14,$M90,AX$13))))</f>
        <v>1000000000000</v>
      </c>
      <c r="AY90" s="182">
        <f ca="1">IF($D90&lt;&gt;"Serviço",0,IF(OR(AND(AUTOEVENTO="Manual",$M90=1),$M90&gt;(ROW(PLE.lastrow)-ROW(PLE.firstrow))),0,IF(OFFSET(PLE!$G$14,$M90,AY$13)="",10^12,OFFSET(PLE!$G$14,$M90,AY$13))))</f>
        <v>1000000000000</v>
      </c>
      <c r="AZ90" s="182">
        <f ca="1">IF($D90&lt;&gt;"Serviço",0,IF(OR(AND(AUTOEVENTO="Manual",$M90=1),$M90&gt;(ROW(PLE.lastrow)-ROW(PLE.firstrow))),0,IF(OFFSET(PLE!$G$14,$M90,AZ$13)="",10^12,OFFSET(PLE!$G$14,$M90,AZ$13))))</f>
        <v>1000000000000</v>
      </c>
      <c r="BA90" s="182">
        <f ca="1">IF($D90&lt;&gt;"Serviço",0,IF(OR(AND(AUTOEVENTO="Manual",$M90=1),$M90&gt;(ROW(PLE.lastrow)-ROW(PLE.firstrow))),0,IF(OFFSET(PLE!$G$14,$M90,BA$13)="",10^12,OFFSET(PLE!$G$14,$M90,BA$13))))</f>
        <v>1000000000000</v>
      </c>
      <c r="BB90" s="182">
        <f ca="1">IF($D90&lt;&gt;"Serviço",0,IF(OR(AND(AUTOEVENTO="Manual",$M90=1),$M90&gt;(ROW(PLE.lastrow)-ROW(PLE.firstrow))),0,IF(OFFSET(PLE!$G$14,$M90,BB$13)="",10^12,OFFSET(PLE!$G$14,$M90,BB$13))))</f>
        <v>1000000000000</v>
      </c>
      <c r="BC90" s="182">
        <f ca="1">IF($D90&lt;&gt;"Serviço",0,IF(OR(AND(AUTOEVENTO="Manual",$M90=1),$M90&gt;(ROW(PLE.lastrow)-ROW(PLE.firstrow))),0,IF(OFFSET(PLE!$G$14,$M90,BC$13)="",10^12,OFFSET(PLE!$G$14,$M90,BC$13))))</f>
        <v>1000000000000</v>
      </c>
      <c r="BD90" s="182">
        <f ca="1">IF($D90&lt;&gt;"Serviço",0,IF(OR(AND(AUTOEVENTO="Manual",$M90=1),$M90&gt;(ROW(PLE.lastrow)-ROW(PLE.firstrow))),0,IF(OFFSET(PLE!$G$14,$M90,BD$13)="",10^12,OFFSET(PLE!$G$14,$M90,BD$13))))</f>
        <v>1000000000000</v>
      </c>
      <c r="BE90" s="182">
        <f ca="1">IF($D90&lt;&gt;"Serviço",0,IF(OR(AND(AUTOEVENTO="Manual",$M90=1),$M90&gt;(ROW(PLE.lastrow)-ROW(PLE.firstrow))),0,IF(OFFSET(PLE!$G$14,$M90,BE$13)="",10^12,OFFSET(PLE!$G$14,$M90,BE$13))))</f>
        <v>1000000000000</v>
      </c>
      <c r="BF90" s="182">
        <f ca="1">IF($D90&lt;&gt;"Serviço",0,IF(OR(AND(AUTOEVENTO="Manual",$M90=1),$M90&gt;(ROW(PLE.lastrow)-ROW(PLE.firstrow))),0,IF(OFFSET(PLE!$G$14,$M90,BF$13)="",10^12,OFFSET(PLE!$G$14,$M90,BF$13))))</f>
        <v>1000000000000</v>
      </c>
      <c r="BG90" s="182">
        <f ca="1">IF($D90&lt;&gt;"Serviço",0,IF(OR(AND(AUTOEVENTO="Manual",$M90=1),$M90&gt;(ROW(PLE.lastrow)-ROW(PLE.firstrow))),0,IF(OFFSET(PLE!$G$14,$M90,BG$13)="",10^12,OFFSET(PLE!$G$14,$M90,BG$13))))</f>
        <v>1000000000000</v>
      </c>
    </row>
    <row r="91" spans="1:59" s="577" customFormat="1" ht="12.75" x14ac:dyDescent="0.2">
      <c r="A91" s="7" t="str">
        <f ca="1">IF(AUTOEVENTO="Manual",IF(K91&lt;&gt;"",MIN(VALUE(LEFT(K91,FIND(".",K91)-1)),COUNTA(EVENTOS.Lista)),0),IF(OR($B91&gt;AUTOEVENTO,$B91="S",$B91=0),SUBSTITUTE(OFFSET($A91,-1,0),IF($D91="Serviço",".",""),""),ROW(A91)-ROW($A$15)&amp;"."))</f>
        <v>73</v>
      </c>
      <c r="B91" s="7" t="str">
        <f ca="1">OFFSET(ORÇAMENTO!C$15,ROW(B91)-ROW(B$15),0)</f>
        <v>S</v>
      </c>
      <c r="C91" s="7" t="str">
        <f ca="1">OFFSET(ORÇAMENTO!L$15,ROW(C91)-ROW(C$15),0)</f>
        <v>F</v>
      </c>
      <c r="D91" s="118" t="str">
        <f ca="1">OFFSET(ORÇAMENTO!N$15,ROW(D91)-ROW(D$15),0)</f>
        <v>Serviço</v>
      </c>
      <c r="E91" s="119" t="str">
        <f ca="1">OFFSET(ORÇAMENTO!O$15,ROW(E91)-ROW(E$15),0)</f>
        <v>3.1.3.</v>
      </c>
      <c r="F91" s="172" t="str">
        <f ca="1">OFFSET(ORÇAMENTO!R$15,ROW(F91)-ROW(F$15),0)</f>
        <v xml:space="preserve">MOBILIZAÇÃO E DESMOBILIZAÇÃO </v>
      </c>
      <c r="G91" s="173" t="str">
        <f ca="1">IF($D91&lt;&gt;"Serviço","",OFFSET(ORÇAMENTO!S$15,ROW(G91)-ROW(G$15),0))</f>
        <v>UNID.</v>
      </c>
      <c r="H91" s="124">
        <f ca="1">IF($D91&lt;&gt;"Serviço",0,IF(ACOMPANHAMENTO="BM",ROUND(OFFSET(ORÇAMENTO!AJ$15,ROW(H91)-ROW(H$15),0),15-13*ORÇAMENTO!$AF$7),SUMPRODUCT(($Q$12:$AA$12&lt;&gt;"")*ROUND($Q91:$AA91,15-13*ORÇAMENTO!$AF$7))))</f>
        <v>1</v>
      </c>
      <c r="I91" s="561"/>
      <c r="K91" s="174"/>
      <c r="L91" s="175" t="s">
        <v>255</v>
      </c>
      <c r="M91" s="176">
        <f ca="1">IF($D91&lt;&gt;"Serviço","",IF(AUTOEVENTO="manual",$A91,IF(ISERROR(MATCH($A91,$A$15:OFFSET($A91,-1,0),0)),MAX($M$15:OFFSET(M91,-1,0))+1,INDEX($M$15:OFFSET(M91,-1,0),MATCH($A91,$A$15:OFFSET($A91,-1,0),0)))))</f>
        <v>12</v>
      </c>
      <c r="N91" s="177" t="str">
        <f ca="1">IF($D91&lt;&gt;"Serviço","",IF(AUTOEVENTO="Manual",IF($A91=0,"&lt;-- defina o número do agrupador",OFFSET(EVENTOS!$D$14,$A91,0)),OFFSET($F$15,$A91,0)))</f>
        <v xml:space="preserve">SERVIÇOS INICIAIS </v>
      </c>
      <c r="O91" s="178"/>
      <c r="Q91" s="178"/>
      <c r="R91" s="179"/>
      <c r="S91" s="179"/>
      <c r="T91" s="179"/>
      <c r="U91" s="179"/>
      <c r="V91" s="179"/>
      <c r="W91" s="179"/>
      <c r="X91" s="179"/>
      <c r="Y91" s="179"/>
      <c r="Z91" s="180"/>
      <c r="AB91" s="544">
        <f ca="1">IF(AND($D91="Serviço",AB$12&lt;&gt;0,$H91&gt;0,OR(AUTOEVENTO&lt;&gt;"manual",$M91&lt;&gt;1)), IF(Import.TipoArredondamento&lt;&gt;"TransfereGOV", ROUND(OFFSET($P91,0,AB$13),15-13*ORÇAMENTO!$AF$7)/$H91*OFFSET(ORÇAMENTO!$X$15,ROW(AB91)-ROW(AB$15),0), ROUND(ROUND(OFFSET($P91,0,AB$13),15-13*ORÇAMENTO!$AF$7)*OFFSET(ORÇAMENTO!$W$15,ROW(AB91)-ROW(AB$15),0),15-13*ORÇAMENTO!$AF$11)),0)</f>
        <v>0</v>
      </c>
      <c r="AC91" s="545">
        <f ca="1">IF(AND($D91="Serviço",AC$12&lt;&gt;0,$H91&gt;0,OR(AUTOEVENTO&lt;&gt;"manual",$M91&lt;&gt;1)), IF(Import.TipoArredondamento&lt;&gt;"TransfereGOV", ROUND(OFFSET($P91,0,AC$13),15-13*ORÇAMENTO!$AF$7)/$H91*OFFSET(ORÇAMENTO!$X$15,ROW(AC91)-ROW(AC$15),0), ROUND(ROUND(OFFSET($P91,0,AC$13),15-13*ORÇAMENTO!$AF$7)*OFFSET(ORÇAMENTO!$W$15,ROW(AC91)-ROW(AC$15),0),15-13*ORÇAMENTO!$AF$11)),0)</f>
        <v>0</v>
      </c>
      <c r="AD91" s="545">
        <f ca="1">IF(AND($D91="Serviço",AD$12&lt;&gt;0,$H91&gt;0,OR(AUTOEVENTO&lt;&gt;"manual",$M91&lt;&gt;1)), IF(Import.TipoArredondamento&lt;&gt;"TransfereGOV", ROUND(OFFSET($P91,0,AD$13),15-13*ORÇAMENTO!$AF$7)/$H91*OFFSET(ORÇAMENTO!$X$15,ROW(AD91)-ROW(AD$15),0), ROUND(ROUND(OFFSET($P91,0,AD$13),15-13*ORÇAMENTO!$AF$7)*OFFSET(ORÇAMENTO!$W$15,ROW(AD91)-ROW(AD$15),0),15-13*ORÇAMENTO!$AF$11)),0)</f>
        <v>0</v>
      </c>
      <c r="AE91" s="545">
        <f ca="1">IF(AND($D91="Serviço",AE$12&lt;&gt;0,$H91&gt;0,OR(AUTOEVENTO&lt;&gt;"manual",$M91&lt;&gt;1)), IF(Import.TipoArredondamento&lt;&gt;"TransfereGOV", ROUND(OFFSET($P91,0,AE$13),15-13*ORÇAMENTO!$AF$7)/$H91*OFFSET(ORÇAMENTO!$X$15,ROW(AE91)-ROW(AE$15),0), ROUND(ROUND(OFFSET($P91,0,AE$13),15-13*ORÇAMENTO!$AF$7)*OFFSET(ORÇAMENTO!$W$15,ROW(AE91)-ROW(AE$15),0),15-13*ORÇAMENTO!$AF$11)),0)</f>
        <v>0</v>
      </c>
      <c r="AF91" s="545">
        <f ca="1">IF(AND($D91="Serviço",AF$12&lt;&gt;0,$H91&gt;0,OR(AUTOEVENTO&lt;&gt;"manual",$M91&lt;&gt;1)), IF(Import.TipoArredondamento&lt;&gt;"TransfereGOV", ROUND(OFFSET($P91,0,AF$13),15-13*ORÇAMENTO!$AF$7)/$H91*OFFSET(ORÇAMENTO!$X$15,ROW(AF91)-ROW(AF$15),0), ROUND(ROUND(OFFSET($P91,0,AF$13),15-13*ORÇAMENTO!$AF$7)*OFFSET(ORÇAMENTO!$W$15,ROW(AF91)-ROW(AF$15),0),15-13*ORÇAMENTO!$AF$11)),0)</f>
        <v>0</v>
      </c>
      <c r="AG91" s="545">
        <f ca="1">IF(AND($D91="Serviço",AG$12&lt;&gt;0,$H91&gt;0,OR(AUTOEVENTO&lt;&gt;"manual",$M91&lt;&gt;1)), IF(Import.TipoArredondamento&lt;&gt;"TransfereGOV", ROUND(OFFSET($P91,0,AG$13),15-13*ORÇAMENTO!$AF$7)/$H91*OFFSET(ORÇAMENTO!$X$15,ROW(AG91)-ROW(AG$15),0), ROUND(ROUND(OFFSET($P91,0,AG$13),15-13*ORÇAMENTO!$AF$7)*OFFSET(ORÇAMENTO!$W$15,ROW(AG91)-ROW(AG$15),0),15-13*ORÇAMENTO!$AF$11)),0)</f>
        <v>0</v>
      </c>
      <c r="AH91" s="545">
        <f ca="1">IF(AND($D91="Serviço",AH$12&lt;&gt;0,$H91&gt;0,OR(AUTOEVENTO&lt;&gt;"manual",$M91&lt;&gt;1)), IF(Import.TipoArredondamento&lt;&gt;"TransfereGOV", ROUND(OFFSET($P91,0,AH$13),15-13*ORÇAMENTO!$AF$7)/$H91*OFFSET(ORÇAMENTO!$X$15,ROW(AH91)-ROW(AH$15),0), ROUND(ROUND(OFFSET($P91,0,AH$13),15-13*ORÇAMENTO!$AF$7)*OFFSET(ORÇAMENTO!$W$15,ROW(AH91)-ROW(AH$15),0),15-13*ORÇAMENTO!$AF$11)),0)</f>
        <v>0</v>
      </c>
      <c r="AI91" s="545">
        <f ca="1">IF(AND($D91="Serviço",AI$12&lt;&gt;0,$H91&gt;0,OR(AUTOEVENTO&lt;&gt;"manual",$M91&lt;&gt;1)), IF(Import.TipoArredondamento&lt;&gt;"TransfereGOV", ROUND(OFFSET($P91,0,AI$13),15-13*ORÇAMENTO!$AF$7)/$H91*OFFSET(ORÇAMENTO!$X$15,ROW(AI91)-ROW(AI$15),0), ROUND(ROUND(OFFSET($P91,0,AI$13),15-13*ORÇAMENTO!$AF$7)*OFFSET(ORÇAMENTO!$W$15,ROW(AI91)-ROW(AI$15),0),15-13*ORÇAMENTO!$AF$11)),0)</f>
        <v>0</v>
      </c>
      <c r="AJ91" s="545">
        <f ca="1">IF(AND($D91="Serviço",AJ$12&lt;&gt;0,$H91&gt;0,OR(AUTOEVENTO&lt;&gt;"manual",$M91&lt;&gt;1)), IF(Import.TipoArredondamento&lt;&gt;"TransfereGOV", ROUND(OFFSET($P91,0,AJ$13),15-13*ORÇAMENTO!$AF$7)/$H91*OFFSET(ORÇAMENTO!$X$15,ROW(AJ91)-ROW(AJ$15),0), ROUND(ROUND(OFFSET($P91,0,AJ$13),15-13*ORÇAMENTO!$AF$7)*OFFSET(ORÇAMENTO!$W$15,ROW(AJ91)-ROW(AJ$15),0),15-13*ORÇAMENTO!$AF$11)),0)</f>
        <v>0</v>
      </c>
      <c r="AK91" s="546">
        <f ca="1">IF(AND($D91="Serviço",AK$12&lt;&gt;0,$H91&gt;0,OR(AUTOEVENTO&lt;&gt;"manual",$M91&lt;&gt;1)), IF(Import.TipoArredondamento&lt;&gt;"TransfereGOV", ROUND(OFFSET($P91,0,AK$13),15-13*ORÇAMENTO!$AF$7)/$H91*OFFSET(ORÇAMENTO!$X$15,ROW(AK91)-ROW(AK$15),0), ROUND(ROUND(OFFSET($P91,0,AK$13),15-13*ORÇAMENTO!$AF$7)*OFFSET(ORÇAMENTO!$W$15,ROW(AK91)-ROW(AK$15),0),15-13*ORÇAMENTO!$AF$11)),0)</f>
        <v>0</v>
      </c>
      <c r="AM91" s="181">
        <f ca="1">IF($D91&lt;&gt;"Serviço",0,IF(AND(AUTOEVENTO="Manual",$M91=1),0,IF(OFFSET(CRONOPLE!$F$14,$M91,AM$13)="",10^12,OFFSET(CRONOPLE!$F$14,$M91,AM$13))))</f>
        <v>1000000000000</v>
      </c>
      <c r="AN91" s="181">
        <f ca="1">IF($D91&lt;&gt;"Serviço",0,IF(AND(AUTOEVENTO="Manual",$M91=1),0,IF(OFFSET(CRONOPLE!$F$14,$M91,AN$13)="",10^12,OFFSET(CRONOPLE!$F$14,$M91,AN$13))))</f>
        <v>1000000000000</v>
      </c>
      <c r="AO91" s="181">
        <f ca="1">IF($D91&lt;&gt;"Serviço",0,IF(AND(AUTOEVENTO="Manual",$M91=1),0,IF(OFFSET(CRONOPLE!$F$14,$M91,AO$13)="",10^12,OFFSET(CRONOPLE!$F$14,$M91,AO$13))))</f>
        <v>1000000000000</v>
      </c>
      <c r="AP91" s="181">
        <f ca="1">IF($D91&lt;&gt;"Serviço",0,IF(AND(AUTOEVENTO="Manual",$M91=1),0,IF(OFFSET(CRONOPLE!$F$14,$M91,AP$13)="",10^12,OFFSET(CRONOPLE!$F$14,$M91,AP$13))))</f>
        <v>1000000000000</v>
      </c>
      <c r="AQ91" s="181">
        <f ca="1">IF($D91&lt;&gt;"Serviço",0,IF(AND(AUTOEVENTO="Manual",$M91=1),0,IF(OFFSET(CRONOPLE!$F$14,$M91,AQ$13)="",10^12,OFFSET(CRONOPLE!$F$14,$M91,AQ$13))))</f>
        <v>1000000000000</v>
      </c>
      <c r="AR91" s="181">
        <f ca="1">IF($D91&lt;&gt;"Serviço",0,IF(AND(AUTOEVENTO="Manual",$M91=1),0,IF(OFFSET(CRONOPLE!$F$14,$M91,AR$13)="",10^12,OFFSET(CRONOPLE!$F$14,$M91,AR$13))))</f>
        <v>1000000000000</v>
      </c>
      <c r="AS91" s="181">
        <f ca="1">IF($D91&lt;&gt;"Serviço",0,IF(AND(AUTOEVENTO="Manual",$M91=1),0,IF(OFFSET(CRONOPLE!$F$14,$M91,AS$13)="",10^12,OFFSET(CRONOPLE!$F$14,$M91,AS$13))))</f>
        <v>1000000000000</v>
      </c>
      <c r="AT91" s="181">
        <f ca="1">IF($D91&lt;&gt;"Serviço",0,IF(AND(AUTOEVENTO="Manual",$M91=1),0,IF(OFFSET(CRONOPLE!$F$14,$M91,AT$13)="",10^12,OFFSET(CRONOPLE!$F$14,$M91,AT$13))))</f>
        <v>1000000000000</v>
      </c>
      <c r="AU91" s="181">
        <f ca="1">IF($D91&lt;&gt;"Serviço",0,IF(AND(AUTOEVENTO="Manual",$M91=1),0,IF(OFFSET(CRONOPLE!$F$14,$M91,AU$13)="",10^12,OFFSET(CRONOPLE!$F$14,$M91,AU$13))))</f>
        <v>1000000000000</v>
      </c>
      <c r="AV91" s="181">
        <f ca="1">IF($D91&lt;&gt;"Serviço",0,IF(AND(AUTOEVENTO="Manual",$M91=1),0,IF(OFFSET(CRONOPLE!$F$14,$M91,AV$13)="",10^12,OFFSET(CRONOPLE!$F$14,$M91,AV$13))))</f>
        <v>1000000000000</v>
      </c>
      <c r="AX91" s="182">
        <f ca="1">IF($D91&lt;&gt;"Serviço",0,IF(OR(AND(AUTOEVENTO="Manual",$M91=1),$M91&gt;(ROW(PLE.lastrow)-ROW(PLE.firstrow))),0,IF(OFFSET(PLE!$G$14,$M91,AX$13)="",10^12,OFFSET(PLE!$G$14,$M91,AX$13))))</f>
        <v>1000000000000</v>
      </c>
      <c r="AY91" s="182">
        <f ca="1">IF($D91&lt;&gt;"Serviço",0,IF(OR(AND(AUTOEVENTO="Manual",$M91=1),$M91&gt;(ROW(PLE.lastrow)-ROW(PLE.firstrow))),0,IF(OFFSET(PLE!$G$14,$M91,AY$13)="",10^12,OFFSET(PLE!$G$14,$M91,AY$13))))</f>
        <v>1000000000000</v>
      </c>
      <c r="AZ91" s="182">
        <f ca="1">IF($D91&lt;&gt;"Serviço",0,IF(OR(AND(AUTOEVENTO="Manual",$M91=1),$M91&gt;(ROW(PLE.lastrow)-ROW(PLE.firstrow))),0,IF(OFFSET(PLE!$G$14,$M91,AZ$13)="",10^12,OFFSET(PLE!$G$14,$M91,AZ$13))))</f>
        <v>1000000000000</v>
      </c>
      <c r="BA91" s="182">
        <f ca="1">IF($D91&lt;&gt;"Serviço",0,IF(OR(AND(AUTOEVENTO="Manual",$M91=1),$M91&gt;(ROW(PLE.lastrow)-ROW(PLE.firstrow))),0,IF(OFFSET(PLE!$G$14,$M91,BA$13)="",10^12,OFFSET(PLE!$G$14,$M91,BA$13))))</f>
        <v>1000000000000</v>
      </c>
      <c r="BB91" s="182">
        <f ca="1">IF($D91&lt;&gt;"Serviço",0,IF(OR(AND(AUTOEVENTO="Manual",$M91=1),$M91&gt;(ROW(PLE.lastrow)-ROW(PLE.firstrow))),0,IF(OFFSET(PLE!$G$14,$M91,BB$13)="",10^12,OFFSET(PLE!$G$14,$M91,BB$13))))</f>
        <v>1000000000000</v>
      </c>
      <c r="BC91" s="182">
        <f ca="1">IF($D91&lt;&gt;"Serviço",0,IF(OR(AND(AUTOEVENTO="Manual",$M91=1),$M91&gt;(ROW(PLE.lastrow)-ROW(PLE.firstrow))),0,IF(OFFSET(PLE!$G$14,$M91,BC$13)="",10^12,OFFSET(PLE!$G$14,$M91,BC$13))))</f>
        <v>1000000000000</v>
      </c>
      <c r="BD91" s="182">
        <f ca="1">IF($D91&lt;&gt;"Serviço",0,IF(OR(AND(AUTOEVENTO="Manual",$M91=1),$M91&gt;(ROW(PLE.lastrow)-ROW(PLE.firstrow))),0,IF(OFFSET(PLE!$G$14,$M91,BD$13)="",10^12,OFFSET(PLE!$G$14,$M91,BD$13))))</f>
        <v>1000000000000</v>
      </c>
      <c r="BE91" s="182">
        <f ca="1">IF($D91&lt;&gt;"Serviço",0,IF(OR(AND(AUTOEVENTO="Manual",$M91=1),$M91&gt;(ROW(PLE.lastrow)-ROW(PLE.firstrow))),0,IF(OFFSET(PLE!$G$14,$M91,BE$13)="",10^12,OFFSET(PLE!$G$14,$M91,BE$13))))</f>
        <v>1000000000000</v>
      </c>
      <c r="BF91" s="182">
        <f ca="1">IF($D91&lt;&gt;"Serviço",0,IF(OR(AND(AUTOEVENTO="Manual",$M91=1),$M91&gt;(ROW(PLE.lastrow)-ROW(PLE.firstrow))),0,IF(OFFSET(PLE!$G$14,$M91,BF$13)="",10^12,OFFSET(PLE!$G$14,$M91,BF$13))))</f>
        <v>1000000000000</v>
      </c>
      <c r="BG91" s="182">
        <f ca="1">IF($D91&lt;&gt;"Serviço",0,IF(OR(AND(AUTOEVENTO="Manual",$M91=1),$M91&gt;(ROW(PLE.lastrow)-ROW(PLE.firstrow))),0,IF(OFFSET(PLE!$G$14,$M91,BG$13)="",10^12,OFFSET(PLE!$G$14,$M91,BG$13))))</f>
        <v>1000000000000</v>
      </c>
    </row>
    <row r="92" spans="1:59" ht="12.75" x14ac:dyDescent="0.2">
      <c r="A92" s="7" t="str">
        <f t="shared" ca="1" si="8"/>
        <v>77.</v>
      </c>
      <c r="B92" s="7">
        <f ca="1">OFFSET(ORÇAMENTO!C$15,ROW(B92)-ROW(B$15),0)</f>
        <v>2</v>
      </c>
      <c r="C92" s="7" t="str">
        <f ca="1">OFFSET(ORÇAMENTO!L$15,ROW(C92)-ROW(C$15),0)</f>
        <v>F</v>
      </c>
      <c r="D92" s="118" t="str">
        <f ca="1">OFFSET(ORÇAMENTO!N$15,ROW(D92)-ROW(D$15),0)</f>
        <v>Nível 2</v>
      </c>
      <c r="E92" s="119" t="str">
        <f ca="1">OFFSET(ORÇAMENTO!O$15,ROW(E92)-ROW(E$15),0)</f>
        <v>3.2.</v>
      </c>
      <c r="F92" s="172" t="str">
        <f ca="1">OFFSET(ORÇAMENTO!R$15,ROW(F92)-ROW(F$15),0)</f>
        <v>ADMINISTRAÇÃO LOCAL</v>
      </c>
      <c r="G92" s="173" t="str">
        <f ca="1">IF($D92&lt;&gt;"Serviço","",OFFSET(ORÇAMENTO!S$15,ROW(G92)-ROW(G$15),0))</f>
        <v/>
      </c>
      <c r="H92" s="124">
        <f ca="1">IF($D92&lt;&gt;"Serviço",0,IF(ACOMPANHAMENTO="BM",ROUND(OFFSET(ORÇAMENTO!AJ$15,ROW(H92)-ROW(H$15),0),15-13*ORÇAMENTO!$AF$7),SUMPRODUCT(($Q$12:$AA$12&lt;&gt;"")*ROUND($Q92:$AA92,15-13*ORÇAMENTO!$AF$7))))</f>
        <v>0</v>
      </c>
      <c r="I92" s="561"/>
      <c r="K92" s="174"/>
      <c r="L92" s="175" t="s">
        <v>255</v>
      </c>
      <c r="M92" s="176" t="str">
        <f ca="1">IF($D92&lt;&gt;"Serviço","",IF(AUTOEVENTO="manual",$A92,IF(ISERROR(MATCH($A92,$A$15:OFFSET($A92,-1,0),0)),MAX($M$15:OFFSET(M92,-1,0))+1,INDEX($M$15:OFFSET(M92,-1,0),MATCH($A92,$A$15:OFFSET($A92,-1,0),0)))))</f>
        <v/>
      </c>
      <c r="N92" s="177" t="str">
        <f ca="1">IF($D92&lt;&gt;"Serviço","",IF(AUTOEVENTO="Manual",IF($A92=0,"&lt;-- defina o número do agrupador",OFFSET(EVENTOS!$D$14,$A92,0)),OFFSET($F$15,$A92,0)))</f>
        <v/>
      </c>
      <c r="O92" s="178"/>
      <c r="Q92" s="178"/>
      <c r="R92" s="179"/>
      <c r="S92" s="179"/>
      <c r="T92" s="179"/>
      <c r="U92" s="179"/>
      <c r="V92" s="179"/>
      <c r="W92" s="179"/>
      <c r="X92" s="179"/>
      <c r="Y92" s="179"/>
      <c r="Z92" s="180"/>
      <c r="AB92" s="544">
        <f ca="1">IF(AND($D92="Serviço",AB$12&lt;&gt;0,$H92&gt;0,OR(AUTOEVENTO&lt;&gt;"manual",$M92&lt;&gt;1)), IF(Import.TipoArredondamento&lt;&gt;"TransfereGOV", ROUND(OFFSET($P92,0,AB$13),15-13*ORÇAMENTO!$AF$7)/$H92*OFFSET(ORÇAMENTO!$X$15,ROW(AB92)-ROW(AB$15),0), ROUND(ROUND(OFFSET($P92,0,AB$13),15-13*ORÇAMENTO!$AF$7)*OFFSET(ORÇAMENTO!$W$15,ROW(AB92)-ROW(AB$15),0),15-13*ORÇAMENTO!$AF$11)),0)</f>
        <v>0</v>
      </c>
      <c r="AC92" s="545">
        <f ca="1">IF(AND($D92="Serviço",AC$12&lt;&gt;0,$H92&gt;0,OR(AUTOEVENTO&lt;&gt;"manual",$M92&lt;&gt;1)), IF(Import.TipoArredondamento&lt;&gt;"TransfereGOV", ROUND(OFFSET($P92,0,AC$13),15-13*ORÇAMENTO!$AF$7)/$H92*OFFSET(ORÇAMENTO!$X$15,ROW(AC92)-ROW(AC$15),0), ROUND(ROUND(OFFSET($P92,0,AC$13),15-13*ORÇAMENTO!$AF$7)*OFFSET(ORÇAMENTO!$W$15,ROW(AC92)-ROW(AC$15),0),15-13*ORÇAMENTO!$AF$11)),0)</f>
        <v>0</v>
      </c>
      <c r="AD92" s="545">
        <f ca="1">IF(AND($D92="Serviço",AD$12&lt;&gt;0,$H92&gt;0,OR(AUTOEVENTO&lt;&gt;"manual",$M92&lt;&gt;1)), IF(Import.TipoArredondamento&lt;&gt;"TransfereGOV", ROUND(OFFSET($P92,0,AD$13),15-13*ORÇAMENTO!$AF$7)/$H92*OFFSET(ORÇAMENTO!$X$15,ROW(AD92)-ROW(AD$15),0), ROUND(ROUND(OFFSET($P92,0,AD$13),15-13*ORÇAMENTO!$AF$7)*OFFSET(ORÇAMENTO!$W$15,ROW(AD92)-ROW(AD$15),0),15-13*ORÇAMENTO!$AF$11)),0)</f>
        <v>0</v>
      </c>
      <c r="AE92" s="545">
        <f ca="1">IF(AND($D92="Serviço",AE$12&lt;&gt;0,$H92&gt;0,OR(AUTOEVENTO&lt;&gt;"manual",$M92&lt;&gt;1)), IF(Import.TipoArredondamento&lt;&gt;"TransfereGOV", ROUND(OFFSET($P92,0,AE$13),15-13*ORÇAMENTO!$AF$7)/$H92*OFFSET(ORÇAMENTO!$X$15,ROW(AE92)-ROW(AE$15),0), ROUND(ROUND(OFFSET($P92,0,AE$13),15-13*ORÇAMENTO!$AF$7)*OFFSET(ORÇAMENTO!$W$15,ROW(AE92)-ROW(AE$15),0),15-13*ORÇAMENTO!$AF$11)),0)</f>
        <v>0</v>
      </c>
      <c r="AF92" s="545">
        <f ca="1">IF(AND($D92="Serviço",AF$12&lt;&gt;0,$H92&gt;0,OR(AUTOEVENTO&lt;&gt;"manual",$M92&lt;&gt;1)), IF(Import.TipoArredondamento&lt;&gt;"TransfereGOV", ROUND(OFFSET($P92,0,AF$13),15-13*ORÇAMENTO!$AF$7)/$H92*OFFSET(ORÇAMENTO!$X$15,ROW(AF92)-ROW(AF$15),0), ROUND(ROUND(OFFSET($P92,0,AF$13),15-13*ORÇAMENTO!$AF$7)*OFFSET(ORÇAMENTO!$W$15,ROW(AF92)-ROW(AF$15),0),15-13*ORÇAMENTO!$AF$11)),0)</f>
        <v>0</v>
      </c>
      <c r="AG92" s="545">
        <f ca="1">IF(AND($D92="Serviço",AG$12&lt;&gt;0,$H92&gt;0,OR(AUTOEVENTO&lt;&gt;"manual",$M92&lt;&gt;1)), IF(Import.TipoArredondamento&lt;&gt;"TransfereGOV", ROUND(OFFSET($P92,0,AG$13),15-13*ORÇAMENTO!$AF$7)/$H92*OFFSET(ORÇAMENTO!$X$15,ROW(AG92)-ROW(AG$15),0), ROUND(ROUND(OFFSET($P92,0,AG$13),15-13*ORÇAMENTO!$AF$7)*OFFSET(ORÇAMENTO!$W$15,ROW(AG92)-ROW(AG$15),0),15-13*ORÇAMENTO!$AF$11)),0)</f>
        <v>0</v>
      </c>
      <c r="AH92" s="545">
        <f ca="1">IF(AND($D92="Serviço",AH$12&lt;&gt;0,$H92&gt;0,OR(AUTOEVENTO&lt;&gt;"manual",$M92&lt;&gt;1)), IF(Import.TipoArredondamento&lt;&gt;"TransfereGOV", ROUND(OFFSET($P92,0,AH$13),15-13*ORÇAMENTO!$AF$7)/$H92*OFFSET(ORÇAMENTO!$X$15,ROW(AH92)-ROW(AH$15),0), ROUND(ROUND(OFFSET($P92,0,AH$13),15-13*ORÇAMENTO!$AF$7)*OFFSET(ORÇAMENTO!$W$15,ROW(AH92)-ROW(AH$15),0),15-13*ORÇAMENTO!$AF$11)),0)</f>
        <v>0</v>
      </c>
      <c r="AI92" s="545">
        <f ca="1">IF(AND($D92="Serviço",AI$12&lt;&gt;0,$H92&gt;0,OR(AUTOEVENTO&lt;&gt;"manual",$M92&lt;&gt;1)), IF(Import.TipoArredondamento&lt;&gt;"TransfereGOV", ROUND(OFFSET($P92,0,AI$13),15-13*ORÇAMENTO!$AF$7)/$H92*OFFSET(ORÇAMENTO!$X$15,ROW(AI92)-ROW(AI$15),0), ROUND(ROUND(OFFSET($P92,0,AI$13),15-13*ORÇAMENTO!$AF$7)*OFFSET(ORÇAMENTO!$W$15,ROW(AI92)-ROW(AI$15),0),15-13*ORÇAMENTO!$AF$11)),0)</f>
        <v>0</v>
      </c>
      <c r="AJ92" s="545">
        <f ca="1">IF(AND($D92="Serviço",AJ$12&lt;&gt;0,$H92&gt;0,OR(AUTOEVENTO&lt;&gt;"manual",$M92&lt;&gt;1)), IF(Import.TipoArredondamento&lt;&gt;"TransfereGOV", ROUND(OFFSET($P92,0,AJ$13),15-13*ORÇAMENTO!$AF$7)/$H92*OFFSET(ORÇAMENTO!$X$15,ROW(AJ92)-ROW(AJ$15),0), ROUND(ROUND(OFFSET($P92,0,AJ$13),15-13*ORÇAMENTO!$AF$7)*OFFSET(ORÇAMENTO!$W$15,ROW(AJ92)-ROW(AJ$15),0),15-13*ORÇAMENTO!$AF$11)),0)</f>
        <v>0</v>
      </c>
      <c r="AK92" s="546">
        <f ca="1">IF(AND($D92="Serviço",AK$12&lt;&gt;0,$H92&gt;0,OR(AUTOEVENTO&lt;&gt;"manual",$M92&lt;&gt;1)), IF(Import.TipoArredondamento&lt;&gt;"TransfereGOV", ROUND(OFFSET($P92,0,AK$13),15-13*ORÇAMENTO!$AF$7)/$H92*OFFSET(ORÇAMENTO!$X$15,ROW(AK92)-ROW(AK$15),0), ROUND(ROUND(OFFSET($P92,0,AK$13),15-13*ORÇAMENTO!$AF$7)*OFFSET(ORÇAMENTO!$W$15,ROW(AK92)-ROW(AK$15),0),15-13*ORÇAMENTO!$AF$11)),0)</f>
        <v>0</v>
      </c>
      <c r="AM92" s="181">
        <f ca="1">IF($D92&lt;&gt;"Serviço",0,IF(AND(AUTOEVENTO="Manual",$M92=1),0,IF(OFFSET(CRONOPLE!$F$14,$M92,AM$13)="",10^12,OFFSET(CRONOPLE!$F$14,$M92,AM$13))))</f>
        <v>0</v>
      </c>
      <c r="AN92" s="181">
        <f ca="1">IF($D92&lt;&gt;"Serviço",0,IF(AND(AUTOEVENTO="Manual",$M92=1),0,IF(OFFSET(CRONOPLE!$F$14,$M92,AN$13)="",10^12,OFFSET(CRONOPLE!$F$14,$M92,AN$13))))</f>
        <v>0</v>
      </c>
      <c r="AO92" s="181">
        <f ca="1">IF($D92&lt;&gt;"Serviço",0,IF(AND(AUTOEVENTO="Manual",$M92=1),0,IF(OFFSET(CRONOPLE!$F$14,$M92,AO$13)="",10^12,OFFSET(CRONOPLE!$F$14,$M92,AO$13))))</f>
        <v>0</v>
      </c>
      <c r="AP92" s="181">
        <f ca="1">IF($D92&lt;&gt;"Serviço",0,IF(AND(AUTOEVENTO="Manual",$M92=1),0,IF(OFFSET(CRONOPLE!$F$14,$M92,AP$13)="",10^12,OFFSET(CRONOPLE!$F$14,$M92,AP$13))))</f>
        <v>0</v>
      </c>
      <c r="AQ92" s="181">
        <f ca="1">IF($D92&lt;&gt;"Serviço",0,IF(AND(AUTOEVENTO="Manual",$M92=1),0,IF(OFFSET(CRONOPLE!$F$14,$M92,AQ$13)="",10^12,OFFSET(CRONOPLE!$F$14,$M92,AQ$13))))</f>
        <v>0</v>
      </c>
      <c r="AR92" s="181">
        <f ca="1">IF($D92&lt;&gt;"Serviço",0,IF(AND(AUTOEVENTO="Manual",$M92=1),0,IF(OFFSET(CRONOPLE!$F$14,$M92,AR$13)="",10^12,OFFSET(CRONOPLE!$F$14,$M92,AR$13))))</f>
        <v>0</v>
      </c>
      <c r="AS92" s="181">
        <f ca="1">IF($D92&lt;&gt;"Serviço",0,IF(AND(AUTOEVENTO="Manual",$M92=1),0,IF(OFFSET(CRONOPLE!$F$14,$M92,AS$13)="",10^12,OFFSET(CRONOPLE!$F$14,$M92,AS$13))))</f>
        <v>0</v>
      </c>
      <c r="AT92" s="181">
        <f ca="1">IF($D92&lt;&gt;"Serviço",0,IF(AND(AUTOEVENTO="Manual",$M92=1),0,IF(OFFSET(CRONOPLE!$F$14,$M92,AT$13)="",10^12,OFFSET(CRONOPLE!$F$14,$M92,AT$13))))</f>
        <v>0</v>
      </c>
      <c r="AU92" s="181">
        <f ca="1">IF($D92&lt;&gt;"Serviço",0,IF(AND(AUTOEVENTO="Manual",$M92=1),0,IF(OFFSET(CRONOPLE!$F$14,$M92,AU$13)="",10^12,OFFSET(CRONOPLE!$F$14,$M92,AU$13))))</f>
        <v>0</v>
      </c>
      <c r="AV92" s="181">
        <f ca="1">IF($D92&lt;&gt;"Serviço",0,IF(AND(AUTOEVENTO="Manual",$M92=1),0,IF(OFFSET(CRONOPLE!$F$14,$M92,AV$13)="",10^12,OFFSET(CRONOPLE!$F$14,$M92,AV$13))))</f>
        <v>0</v>
      </c>
      <c r="AX92" s="182">
        <f ca="1">IF($D92&lt;&gt;"Serviço",0,IF(OR(AND(AUTOEVENTO="Manual",$M92=1),$M92&gt;(ROW(PLE.lastrow)-ROW(PLE.firstrow))),0,IF(OFFSET(PLE!$G$14,$M92,AX$13)="",10^12,OFFSET(PLE!$G$14,$M92,AX$13))))</f>
        <v>0</v>
      </c>
      <c r="AY92" s="182">
        <f ca="1">IF($D92&lt;&gt;"Serviço",0,IF(OR(AND(AUTOEVENTO="Manual",$M92=1),$M92&gt;(ROW(PLE.lastrow)-ROW(PLE.firstrow))),0,IF(OFFSET(PLE!$G$14,$M92,AY$13)="",10^12,OFFSET(PLE!$G$14,$M92,AY$13))))</f>
        <v>0</v>
      </c>
      <c r="AZ92" s="182">
        <f ca="1">IF($D92&lt;&gt;"Serviço",0,IF(OR(AND(AUTOEVENTO="Manual",$M92=1),$M92&gt;(ROW(PLE.lastrow)-ROW(PLE.firstrow))),0,IF(OFFSET(PLE!$G$14,$M92,AZ$13)="",10^12,OFFSET(PLE!$G$14,$M92,AZ$13))))</f>
        <v>0</v>
      </c>
      <c r="BA92" s="182">
        <f ca="1">IF($D92&lt;&gt;"Serviço",0,IF(OR(AND(AUTOEVENTO="Manual",$M92=1),$M92&gt;(ROW(PLE.lastrow)-ROW(PLE.firstrow))),0,IF(OFFSET(PLE!$G$14,$M92,BA$13)="",10^12,OFFSET(PLE!$G$14,$M92,BA$13))))</f>
        <v>0</v>
      </c>
      <c r="BB92" s="182">
        <f ca="1">IF($D92&lt;&gt;"Serviço",0,IF(OR(AND(AUTOEVENTO="Manual",$M92=1),$M92&gt;(ROW(PLE.lastrow)-ROW(PLE.firstrow))),0,IF(OFFSET(PLE!$G$14,$M92,BB$13)="",10^12,OFFSET(PLE!$G$14,$M92,BB$13))))</f>
        <v>0</v>
      </c>
      <c r="BC92" s="182">
        <f ca="1">IF($D92&lt;&gt;"Serviço",0,IF(OR(AND(AUTOEVENTO="Manual",$M92=1),$M92&gt;(ROW(PLE.lastrow)-ROW(PLE.firstrow))),0,IF(OFFSET(PLE!$G$14,$M92,BC$13)="",10^12,OFFSET(PLE!$G$14,$M92,BC$13))))</f>
        <v>0</v>
      </c>
      <c r="BD92" s="182">
        <f ca="1">IF($D92&lt;&gt;"Serviço",0,IF(OR(AND(AUTOEVENTO="Manual",$M92=1),$M92&gt;(ROW(PLE.lastrow)-ROW(PLE.firstrow))),0,IF(OFFSET(PLE!$G$14,$M92,BD$13)="",10^12,OFFSET(PLE!$G$14,$M92,BD$13))))</f>
        <v>0</v>
      </c>
      <c r="BE92" s="182">
        <f ca="1">IF($D92&lt;&gt;"Serviço",0,IF(OR(AND(AUTOEVENTO="Manual",$M92=1),$M92&gt;(ROW(PLE.lastrow)-ROW(PLE.firstrow))),0,IF(OFFSET(PLE!$G$14,$M92,BE$13)="",10^12,OFFSET(PLE!$G$14,$M92,BE$13))))</f>
        <v>0</v>
      </c>
      <c r="BF92" s="182">
        <f ca="1">IF($D92&lt;&gt;"Serviço",0,IF(OR(AND(AUTOEVENTO="Manual",$M92=1),$M92&gt;(ROW(PLE.lastrow)-ROW(PLE.firstrow))),0,IF(OFFSET(PLE!$G$14,$M92,BF$13)="",10^12,OFFSET(PLE!$G$14,$M92,BF$13))))</f>
        <v>0</v>
      </c>
      <c r="BG92" s="182">
        <f ca="1">IF($D92&lt;&gt;"Serviço",0,IF(OR(AND(AUTOEVENTO="Manual",$M92=1),$M92&gt;(ROW(PLE.lastrow)-ROW(PLE.firstrow))),0,IF(OFFSET(PLE!$G$14,$M92,BG$13)="",10^12,OFFSET(PLE!$G$14,$M92,BG$13))))</f>
        <v>0</v>
      </c>
    </row>
    <row r="93" spans="1:59" ht="12.75" x14ac:dyDescent="0.2">
      <c r="A93" s="7" t="str">
        <f t="shared" ca="1" si="8"/>
        <v>77</v>
      </c>
      <c r="B93" s="7" t="str">
        <f ca="1">OFFSET(ORÇAMENTO!C$15,ROW(B93)-ROW(B$15),0)</f>
        <v>S</v>
      </c>
      <c r="C93" s="7" t="str">
        <f ca="1">OFFSET(ORÇAMENTO!L$15,ROW(C93)-ROW(C$15),0)</f>
        <v>F</v>
      </c>
      <c r="D93" s="118" t="str">
        <f ca="1">OFFSET(ORÇAMENTO!N$15,ROW(D93)-ROW(D$15),0)</f>
        <v>Serviço</v>
      </c>
      <c r="E93" s="119" t="str">
        <f ca="1">OFFSET(ORÇAMENTO!O$15,ROW(E93)-ROW(E$15),0)</f>
        <v>3.2.1.</v>
      </c>
      <c r="F93" s="172" t="str">
        <f ca="1">OFFSET(ORÇAMENTO!R$15,ROW(F93)-ROW(F$15),0)</f>
        <v>Engenheiro</v>
      </c>
      <c r="G93" s="173" t="str">
        <f ca="1">IF($D93&lt;&gt;"Serviço","",OFFSET(ORÇAMENTO!S$15,ROW(G93)-ROW(G$15),0))</f>
        <v>h</v>
      </c>
      <c r="H93" s="124">
        <f ca="1">IF($D93&lt;&gt;"Serviço",0,IF(ACOMPANHAMENTO="BM",ROUND(OFFSET(ORÇAMENTO!AJ$15,ROW(H93)-ROW(H$15),0),15-13*ORÇAMENTO!$AF$7),SUMPRODUCT(($Q$12:$AA$12&lt;&gt;"")*ROUND($Q93:$AA93,15-13*ORÇAMENTO!$AF$7))))</f>
        <v>15</v>
      </c>
      <c r="I93" s="561"/>
      <c r="K93" s="174"/>
      <c r="L93" s="175" t="s">
        <v>255</v>
      </c>
      <c r="M93" s="176">
        <f ca="1">IF($D93&lt;&gt;"Serviço","",IF(AUTOEVENTO="manual",$A93,IF(ISERROR(MATCH($A93,$A$15:OFFSET($A93,-1,0),0)),MAX($M$15:OFFSET(M93,-1,0))+1,INDEX($M$15:OFFSET(M93,-1,0),MATCH($A93,$A$15:OFFSET($A93,-1,0),0)))))</f>
        <v>13</v>
      </c>
      <c r="N93" s="177" t="str">
        <f ca="1">IF($D93&lt;&gt;"Serviço","",IF(AUTOEVENTO="Manual",IF($A93=0,"&lt;-- defina o número do agrupador",OFFSET(EVENTOS!$D$14,$A93,0)),OFFSET($F$15,$A93,0)))</f>
        <v>ADMINISTRAÇÃO LOCAL</v>
      </c>
      <c r="O93" s="178"/>
      <c r="Q93" s="178"/>
      <c r="R93" s="179"/>
      <c r="S93" s="179"/>
      <c r="T93" s="179"/>
      <c r="U93" s="179"/>
      <c r="V93" s="179"/>
      <c r="W93" s="179"/>
      <c r="X93" s="179"/>
      <c r="Y93" s="179"/>
      <c r="Z93" s="180"/>
      <c r="AB93" s="544">
        <f ca="1">IF(AND($D93="Serviço",AB$12&lt;&gt;0,$H93&gt;0,OR(AUTOEVENTO&lt;&gt;"manual",$M93&lt;&gt;1)), IF(Import.TipoArredondamento&lt;&gt;"TransfereGOV", ROUND(OFFSET($P93,0,AB$13),15-13*ORÇAMENTO!$AF$7)/$H93*OFFSET(ORÇAMENTO!$X$15,ROW(AB93)-ROW(AB$15),0), ROUND(ROUND(OFFSET($P93,0,AB$13),15-13*ORÇAMENTO!$AF$7)*OFFSET(ORÇAMENTO!$W$15,ROW(AB93)-ROW(AB$15),0),15-13*ORÇAMENTO!$AF$11)),0)</f>
        <v>0</v>
      </c>
      <c r="AC93" s="545">
        <f ca="1">IF(AND($D93="Serviço",AC$12&lt;&gt;0,$H93&gt;0,OR(AUTOEVENTO&lt;&gt;"manual",$M93&lt;&gt;1)), IF(Import.TipoArredondamento&lt;&gt;"TransfereGOV", ROUND(OFFSET($P93,0,AC$13),15-13*ORÇAMENTO!$AF$7)/$H93*OFFSET(ORÇAMENTO!$X$15,ROW(AC93)-ROW(AC$15),0), ROUND(ROUND(OFFSET($P93,0,AC$13),15-13*ORÇAMENTO!$AF$7)*OFFSET(ORÇAMENTO!$W$15,ROW(AC93)-ROW(AC$15),0),15-13*ORÇAMENTO!$AF$11)),0)</f>
        <v>0</v>
      </c>
      <c r="AD93" s="545">
        <f ca="1">IF(AND($D93="Serviço",AD$12&lt;&gt;0,$H93&gt;0,OR(AUTOEVENTO&lt;&gt;"manual",$M93&lt;&gt;1)), IF(Import.TipoArredondamento&lt;&gt;"TransfereGOV", ROUND(OFFSET($P93,0,AD$13),15-13*ORÇAMENTO!$AF$7)/$H93*OFFSET(ORÇAMENTO!$X$15,ROW(AD93)-ROW(AD$15),0), ROUND(ROUND(OFFSET($P93,0,AD$13),15-13*ORÇAMENTO!$AF$7)*OFFSET(ORÇAMENTO!$W$15,ROW(AD93)-ROW(AD$15),0),15-13*ORÇAMENTO!$AF$11)),0)</f>
        <v>0</v>
      </c>
      <c r="AE93" s="545">
        <f ca="1">IF(AND($D93="Serviço",AE$12&lt;&gt;0,$H93&gt;0,OR(AUTOEVENTO&lt;&gt;"manual",$M93&lt;&gt;1)), IF(Import.TipoArredondamento&lt;&gt;"TransfereGOV", ROUND(OFFSET($P93,0,AE$13),15-13*ORÇAMENTO!$AF$7)/$H93*OFFSET(ORÇAMENTO!$X$15,ROW(AE93)-ROW(AE$15),0), ROUND(ROUND(OFFSET($P93,0,AE$13),15-13*ORÇAMENTO!$AF$7)*OFFSET(ORÇAMENTO!$W$15,ROW(AE93)-ROW(AE$15),0),15-13*ORÇAMENTO!$AF$11)),0)</f>
        <v>0</v>
      </c>
      <c r="AF93" s="545">
        <f ca="1">IF(AND($D93="Serviço",AF$12&lt;&gt;0,$H93&gt;0,OR(AUTOEVENTO&lt;&gt;"manual",$M93&lt;&gt;1)), IF(Import.TipoArredondamento&lt;&gt;"TransfereGOV", ROUND(OFFSET($P93,0,AF$13),15-13*ORÇAMENTO!$AF$7)/$H93*OFFSET(ORÇAMENTO!$X$15,ROW(AF93)-ROW(AF$15),0), ROUND(ROUND(OFFSET($P93,0,AF$13),15-13*ORÇAMENTO!$AF$7)*OFFSET(ORÇAMENTO!$W$15,ROW(AF93)-ROW(AF$15),0),15-13*ORÇAMENTO!$AF$11)),0)</f>
        <v>0</v>
      </c>
      <c r="AG93" s="545">
        <f ca="1">IF(AND($D93="Serviço",AG$12&lt;&gt;0,$H93&gt;0,OR(AUTOEVENTO&lt;&gt;"manual",$M93&lt;&gt;1)), IF(Import.TipoArredondamento&lt;&gt;"TransfereGOV", ROUND(OFFSET($P93,0,AG$13),15-13*ORÇAMENTO!$AF$7)/$H93*OFFSET(ORÇAMENTO!$X$15,ROW(AG93)-ROW(AG$15),0), ROUND(ROUND(OFFSET($P93,0,AG$13),15-13*ORÇAMENTO!$AF$7)*OFFSET(ORÇAMENTO!$W$15,ROW(AG93)-ROW(AG$15),0),15-13*ORÇAMENTO!$AF$11)),0)</f>
        <v>0</v>
      </c>
      <c r="AH93" s="545">
        <f ca="1">IF(AND($D93="Serviço",AH$12&lt;&gt;0,$H93&gt;0,OR(AUTOEVENTO&lt;&gt;"manual",$M93&lt;&gt;1)), IF(Import.TipoArredondamento&lt;&gt;"TransfereGOV", ROUND(OFFSET($P93,0,AH$13),15-13*ORÇAMENTO!$AF$7)/$H93*OFFSET(ORÇAMENTO!$X$15,ROW(AH93)-ROW(AH$15),0), ROUND(ROUND(OFFSET($P93,0,AH$13),15-13*ORÇAMENTO!$AF$7)*OFFSET(ORÇAMENTO!$W$15,ROW(AH93)-ROW(AH$15),0),15-13*ORÇAMENTO!$AF$11)),0)</f>
        <v>0</v>
      </c>
      <c r="AI93" s="545">
        <f ca="1">IF(AND($D93="Serviço",AI$12&lt;&gt;0,$H93&gt;0,OR(AUTOEVENTO&lt;&gt;"manual",$M93&lt;&gt;1)), IF(Import.TipoArredondamento&lt;&gt;"TransfereGOV", ROUND(OFFSET($P93,0,AI$13),15-13*ORÇAMENTO!$AF$7)/$H93*OFFSET(ORÇAMENTO!$X$15,ROW(AI93)-ROW(AI$15),0), ROUND(ROUND(OFFSET($P93,0,AI$13),15-13*ORÇAMENTO!$AF$7)*OFFSET(ORÇAMENTO!$W$15,ROW(AI93)-ROW(AI$15),0),15-13*ORÇAMENTO!$AF$11)),0)</f>
        <v>0</v>
      </c>
      <c r="AJ93" s="545">
        <f ca="1">IF(AND($D93="Serviço",AJ$12&lt;&gt;0,$H93&gt;0,OR(AUTOEVENTO&lt;&gt;"manual",$M93&lt;&gt;1)), IF(Import.TipoArredondamento&lt;&gt;"TransfereGOV", ROUND(OFFSET($P93,0,AJ$13),15-13*ORÇAMENTO!$AF$7)/$H93*OFFSET(ORÇAMENTO!$X$15,ROW(AJ93)-ROW(AJ$15),0), ROUND(ROUND(OFFSET($P93,0,AJ$13),15-13*ORÇAMENTO!$AF$7)*OFFSET(ORÇAMENTO!$W$15,ROW(AJ93)-ROW(AJ$15),0),15-13*ORÇAMENTO!$AF$11)),0)</f>
        <v>0</v>
      </c>
      <c r="AK93" s="546">
        <f ca="1">IF(AND($D93="Serviço",AK$12&lt;&gt;0,$H93&gt;0,OR(AUTOEVENTO&lt;&gt;"manual",$M93&lt;&gt;1)), IF(Import.TipoArredondamento&lt;&gt;"TransfereGOV", ROUND(OFFSET($P93,0,AK$13),15-13*ORÇAMENTO!$AF$7)/$H93*OFFSET(ORÇAMENTO!$X$15,ROW(AK93)-ROW(AK$15),0), ROUND(ROUND(OFFSET($P93,0,AK$13),15-13*ORÇAMENTO!$AF$7)*OFFSET(ORÇAMENTO!$W$15,ROW(AK93)-ROW(AK$15),0),15-13*ORÇAMENTO!$AF$11)),0)</f>
        <v>0</v>
      </c>
      <c r="AM93" s="181">
        <f ca="1">IF($D93&lt;&gt;"Serviço",0,IF(AND(AUTOEVENTO="Manual",$M93=1),0,IF(OFFSET(CRONOPLE!$F$14,$M93,AM$13)="",10^12,OFFSET(CRONOPLE!$F$14,$M93,AM$13))))</f>
        <v>1000000000000</v>
      </c>
      <c r="AN93" s="181">
        <f ca="1">IF($D93&lt;&gt;"Serviço",0,IF(AND(AUTOEVENTO="Manual",$M93=1),0,IF(OFFSET(CRONOPLE!$F$14,$M93,AN$13)="",10^12,OFFSET(CRONOPLE!$F$14,$M93,AN$13))))</f>
        <v>1000000000000</v>
      </c>
      <c r="AO93" s="181">
        <f ca="1">IF($D93&lt;&gt;"Serviço",0,IF(AND(AUTOEVENTO="Manual",$M93=1),0,IF(OFFSET(CRONOPLE!$F$14,$M93,AO$13)="",10^12,OFFSET(CRONOPLE!$F$14,$M93,AO$13))))</f>
        <v>1000000000000</v>
      </c>
      <c r="AP93" s="181">
        <f ca="1">IF($D93&lt;&gt;"Serviço",0,IF(AND(AUTOEVENTO="Manual",$M93=1),0,IF(OFFSET(CRONOPLE!$F$14,$M93,AP$13)="",10^12,OFFSET(CRONOPLE!$F$14,$M93,AP$13))))</f>
        <v>1000000000000</v>
      </c>
      <c r="AQ93" s="181">
        <f ca="1">IF($D93&lt;&gt;"Serviço",0,IF(AND(AUTOEVENTO="Manual",$M93=1),0,IF(OFFSET(CRONOPLE!$F$14,$M93,AQ$13)="",10^12,OFFSET(CRONOPLE!$F$14,$M93,AQ$13))))</f>
        <v>1000000000000</v>
      </c>
      <c r="AR93" s="181">
        <f ca="1">IF($D93&lt;&gt;"Serviço",0,IF(AND(AUTOEVENTO="Manual",$M93=1),0,IF(OFFSET(CRONOPLE!$F$14,$M93,AR$13)="",10^12,OFFSET(CRONOPLE!$F$14,$M93,AR$13))))</f>
        <v>1000000000000</v>
      </c>
      <c r="AS93" s="181">
        <f ca="1">IF($D93&lt;&gt;"Serviço",0,IF(AND(AUTOEVENTO="Manual",$M93=1),0,IF(OFFSET(CRONOPLE!$F$14,$M93,AS$13)="",10^12,OFFSET(CRONOPLE!$F$14,$M93,AS$13))))</f>
        <v>1000000000000</v>
      </c>
      <c r="AT93" s="181">
        <f ca="1">IF($D93&lt;&gt;"Serviço",0,IF(AND(AUTOEVENTO="Manual",$M93=1),0,IF(OFFSET(CRONOPLE!$F$14,$M93,AT$13)="",10^12,OFFSET(CRONOPLE!$F$14,$M93,AT$13))))</f>
        <v>1000000000000</v>
      </c>
      <c r="AU93" s="181">
        <f ca="1">IF($D93&lt;&gt;"Serviço",0,IF(AND(AUTOEVENTO="Manual",$M93=1),0,IF(OFFSET(CRONOPLE!$F$14,$M93,AU$13)="",10^12,OFFSET(CRONOPLE!$F$14,$M93,AU$13))))</f>
        <v>1000000000000</v>
      </c>
      <c r="AV93" s="181">
        <f ca="1">IF($D93&lt;&gt;"Serviço",0,IF(AND(AUTOEVENTO="Manual",$M93=1),0,IF(OFFSET(CRONOPLE!$F$14,$M93,AV$13)="",10^12,OFFSET(CRONOPLE!$F$14,$M93,AV$13))))</f>
        <v>1000000000000</v>
      </c>
      <c r="AX93" s="182">
        <f ca="1">IF($D93&lt;&gt;"Serviço",0,IF(OR(AND(AUTOEVENTO="Manual",$M93=1),$M93&gt;(ROW(PLE.lastrow)-ROW(PLE.firstrow))),0,IF(OFFSET(PLE!$G$14,$M93,AX$13)="",10^12,OFFSET(PLE!$G$14,$M93,AX$13))))</f>
        <v>1000000000000</v>
      </c>
      <c r="AY93" s="182">
        <f ca="1">IF($D93&lt;&gt;"Serviço",0,IF(OR(AND(AUTOEVENTO="Manual",$M93=1),$M93&gt;(ROW(PLE.lastrow)-ROW(PLE.firstrow))),0,IF(OFFSET(PLE!$G$14,$M93,AY$13)="",10^12,OFFSET(PLE!$G$14,$M93,AY$13))))</f>
        <v>1000000000000</v>
      </c>
      <c r="AZ93" s="182">
        <f ca="1">IF($D93&lt;&gt;"Serviço",0,IF(OR(AND(AUTOEVENTO="Manual",$M93=1),$M93&gt;(ROW(PLE.lastrow)-ROW(PLE.firstrow))),0,IF(OFFSET(PLE!$G$14,$M93,AZ$13)="",10^12,OFFSET(PLE!$G$14,$M93,AZ$13))))</f>
        <v>1000000000000</v>
      </c>
      <c r="BA93" s="182">
        <f ca="1">IF($D93&lt;&gt;"Serviço",0,IF(OR(AND(AUTOEVENTO="Manual",$M93=1),$M93&gt;(ROW(PLE.lastrow)-ROW(PLE.firstrow))),0,IF(OFFSET(PLE!$G$14,$M93,BA$13)="",10^12,OFFSET(PLE!$G$14,$M93,BA$13))))</f>
        <v>1000000000000</v>
      </c>
      <c r="BB93" s="182">
        <f ca="1">IF($D93&lt;&gt;"Serviço",0,IF(OR(AND(AUTOEVENTO="Manual",$M93=1),$M93&gt;(ROW(PLE.lastrow)-ROW(PLE.firstrow))),0,IF(OFFSET(PLE!$G$14,$M93,BB$13)="",10^12,OFFSET(PLE!$G$14,$M93,BB$13))))</f>
        <v>1000000000000</v>
      </c>
      <c r="BC93" s="182">
        <f ca="1">IF($D93&lt;&gt;"Serviço",0,IF(OR(AND(AUTOEVENTO="Manual",$M93=1),$M93&gt;(ROW(PLE.lastrow)-ROW(PLE.firstrow))),0,IF(OFFSET(PLE!$G$14,$M93,BC$13)="",10^12,OFFSET(PLE!$G$14,$M93,BC$13))))</f>
        <v>1000000000000</v>
      </c>
      <c r="BD93" s="182">
        <f ca="1">IF($D93&lt;&gt;"Serviço",0,IF(OR(AND(AUTOEVENTO="Manual",$M93=1),$M93&gt;(ROW(PLE.lastrow)-ROW(PLE.firstrow))),0,IF(OFFSET(PLE!$G$14,$M93,BD$13)="",10^12,OFFSET(PLE!$G$14,$M93,BD$13))))</f>
        <v>1000000000000</v>
      </c>
      <c r="BE93" s="182">
        <f ca="1">IF($D93&lt;&gt;"Serviço",0,IF(OR(AND(AUTOEVENTO="Manual",$M93=1),$M93&gt;(ROW(PLE.lastrow)-ROW(PLE.firstrow))),0,IF(OFFSET(PLE!$G$14,$M93,BE$13)="",10^12,OFFSET(PLE!$G$14,$M93,BE$13))))</f>
        <v>1000000000000</v>
      </c>
      <c r="BF93" s="182">
        <f ca="1">IF($D93&lt;&gt;"Serviço",0,IF(OR(AND(AUTOEVENTO="Manual",$M93=1),$M93&gt;(ROW(PLE.lastrow)-ROW(PLE.firstrow))),0,IF(OFFSET(PLE!$G$14,$M93,BF$13)="",10^12,OFFSET(PLE!$G$14,$M93,BF$13))))</f>
        <v>1000000000000</v>
      </c>
      <c r="BG93" s="182">
        <f ca="1">IF($D93&lt;&gt;"Serviço",0,IF(OR(AND(AUTOEVENTO="Manual",$M93=1),$M93&gt;(ROW(PLE.lastrow)-ROW(PLE.firstrow))),0,IF(OFFSET(PLE!$G$14,$M93,BG$13)="",10^12,OFFSET(PLE!$G$14,$M93,BG$13))))</f>
        <v>1000000000000</v>
      </c>
    </row>
    <row r="94" spans="1:59" s="577" customFormat="1" ht="12.75" x14ac:dyDescent="0.2">
      <c r="A94" s="7" t="str">
        <f t="shared" ca="1" si="8"/>
        <v>77</v>
      </c>
      <c r="B94" s="7" t="str">
        <f ca="1">OFFSET(ORÇAMENTO!C$15,ROW(B94)-ROW(B$15),0)</f>
        <v>S</v>
      </c>
      <c r="C94" s="7" t="str">
        <f ca="1">OFFSET(ORÇAMENTO!L$15,ROW(C94)-ROW(C$15),0)</f>
        <v>F</v>
      </c>
      <c r="D94" s="118" t="str">
        <f ca="1">OFFSET(ORÇAMENTO!N$15,ROW(D94)-ROW(D$15),0)</f>
        <v>Serviço</v>
      </c>
      <c r="E94" s="119" t="str">
        <f ca="1">OFFSET(ORÇAMENTO!O$15,ROW(E94)-ROW(E$15),0)</f>
        <v>3.2.2.</v>
      </c>
      <c r="F94" s="172" t="str">
        <f ca="1">OFFSET(ORÇAMENTO!R$15,ROW(F94)-ROW(F$15),0)</f>
        <v>Encarregado de pavimentação</v>
      </c>
      <c r="G94" s="173" t="str">
        <f ca="1">IF($D94&lt;&gt;"Serviço","",OFFSET(ORÇAMENTO!S$15,ROW(G94)-ROW(G$15),0))</f>
        <v>h</v>
      </c>
      <c r="H94" s="124">
        <f ca="1">IF($D94&lt;&gt;"Serviço",0,IF(ACOMPANHAMENTO="BM",ROUND(OFFSET(ORÇAMENTO!AJ$15,ROW(H94)-ROW(H$15),0),15-13*ORÇAMENTO!$AF$7),SUMPRODUCT(($Q$12:$AA$12&lt;&gt;"")*ROUND($Q94:$AA94,15-13*ORÇAMENTO!$AF$7))))</f>
        <v>60</v>
      </c>
      <c r="I94" s="561"/>
      <c r="K94" s="174"/>
      <c r="L94" s="175" t="s">
        <v>255</v>
      </c>
      <c r="M94" s="176">
        <f ca="1">IF($D94&lt;&gt;"Serviço","",IF(AUTOEVENTO="manual",$A94,IF(ISERROR(MATCH($A94,$A$15:OFFSET($A94,-1,0),0)),MAX($M$15:OFFSET(M94,-1,0))+1,INDEX($M$15:OFFSET(M94,-1,0),MATCH($A94,$A$15:OFFSET($A94,-1,0),0)))))</f>
        <v>13</v>
      </c>
      <c r="N94" s="177" t="str">
        <f ca="1">IF($D94&lt;&gt;"Serviço","",IF(AUTOEVENTO="Manual",IF($A94=0,"&lt;-- defina o número do agrupador",OFFSET(EVENTOS!$D$14,$A94,0)),OFFSET($F$15,$A94,0)))</f>
        <v>ADMINISTRAÇÃO LOCAL</v>
      </c>
      <c r="O94" s="178"/>
      <c r="Q94" s="178"/>
      <c r="R94" s="179"/>
      <c r="S94" s="179"/>
      <c r="T94" s="179"/>
      <c r="U94" s="179"/>
      <c r="V94" s="179"/>
      <c r="W94" s="179"/>
      <c r="X94" s="179"/>
      <c r="Y94" s="179"/>
      <c r="Z94" s="180"/>
      <c r="AB94" s="544">
        <f ca="1">IF(AND($D94="Serviço",AB$12&lt;&gt;0,$H94&gt;0,OR(AUTOEVENTO&lt;&gt;"manual",$M94&lt;&gt;1)), IF(Import.TipoArredondamento&lt;&gt;"TransfereGOV", ROUND(OFFSET($P94,0,AB$13),15-13*ORÇAMENTO!$AF$7)/$H94*OFFSET(ORÇAMENTO!$X$15,ROW(AB94)-ROW(AB$15),0), ROUND(ROUND(OFFSET($P94,0,AB$13),15-13*ORÇAMENTO!$AF$7)*OFFSET(ORÇAMENTO!$W$15,ROW(AB94)-ROW(AB$15),0),15-13*ORÇAMENTO!$AF$11)),0)</f>
        <v>0</v>
      </c>
      <c r="AC94" s="545">
        <f ca="1">IF(AND($D94="Serviço",AC$12&lt;&gt;0,$H94&gt;0,OR(AUTOEVENTO&lt;&gt;"manual",$M94&lt;&gt;1)), IF(Import.TipoArredondamento&lt;&gt;"TransfereGOV", ROUND(OFFSET($P94,0,AC$13),15-13*ORÇAMENTO!$AF$7)/$H94*OFFSET(ORÇAMENTO!$X$15,ROW(AC94)-ROW(AC$15),0), ROUND(ROUND(OFFSET($P94,0,AC$13),15-13*ORÇAMENTO!$AF$7)*OFFSET(ORÇAMENTO!$W$15,ROW(AC94)-ROW(AC$15),0),15-13*ORÇAMENTO!$AF$11)),0)</f>
        <v>0</v>
      </c>
      <c r="AD94" s="545">
        <f ca="1">IF(AND($D94="Serviço",AD$12&lt;&gt;0,$H94&gt;0,OR(AUTOEVENTO&lt;&gt;"manual",$M94&lt;&gt;1)), IF(Import.TipoArredondamento&lt;&gt;"TransfereGOV", ROUND(OFFSET($P94,0,AD$13),15-13*ORÇAMENTO!$AF$7)/$H94*OFFSET(ORÇAMENTO!$X$15,ROW(AD94)-ROW(AD$15),0), ROUND(ROUND(OFFSET($P94,0,AD$13),15-13*ORÇAMENTO!$AF$7)*OFFSET(ORÇAMENTO!$W$15,ROW(AD94)-ROW(AD$15),0),15-13*ORÇAMENTO!$AF$11)),0)</f>
        <v>0</v>
      </c>
      <c r="AE94" s="545">
        <f ca="1">IF(AND($D94="Serviço",AE$12&lt;&gt;0,$H94&gt;0,OR(AUTOEVENTO&lt;&gt;"manual",$M94&lt;&gt;1)), IF(Import.TipoArredondamento&lt;&gt;"TransfereGOV", ROUND(OFFSET($P94,0,AE$13),15-13*ORÇAMENTO!$AF$7)/$H94*OFFSET(ORÇAMENTO!$X$15,ROW(AE94)-ROW(AE$15),0), ROUND(ROUND(OFFSET($P94,0,AE$13),15-13*ORÇAMENTO!$AF$7)*OFFSET(ORÇAMENTO!$W$15,ROW(AE94)-ROW(AE$15),0),15-13*ORÇAMENTO!$AF$11)),0)</f>
        <v>0</v>
      </c>
      <c r="AF94" s="545">
        <f ca="1">IF(AND($D94="Serviço",AF$12&lt;&gt;0,$H94&gt;0,OR(AUTOEVENTO&lt;&gt;"manual",$M94&lt;&gt;1)), IF(Import.TipoArredondamento&lt;&gt;"TransfereGOV", ROUND(OFFSET($P94,0,AF$13),15-13*ORÇAMENTO!$AF$7)/$H94*OFFSET(ORÇAMENTO!$X$15,ROW(AF94)-ROW(AF$15),0), ROUND(ROUND(OFFSET($P94,0,AF$13),15-13*ORÇAMENTO!$AF$7)*OFFSET(ORÇAMENTO!$W$15,ROW(AF94)-ROW(AF$15),0),15-13*ORÇAMENTO!$AF$11)),0)</f>
        <v>0</v>
      </c>
      <c r="AG94" s="545">
        <f ca="1">IF(AND($D94="Serviço",AG$12&lt;&gt;0,$H94&gt;0,OR(AUTOEVENTO&lt;&gt;"manual",$M94&lt;&gt;1)), IF(Import.TipoArredondamento&lt;&gt;"TransfereGOV", ROUND(OFFSET($P94,0,AG$13),15-13*ORÇAMENTO!$AF$7)/$H94*OFFSET(ORÇAMENTO!$X$15,ROW(AG94)-ROW(AG$15),0), ROUND(ROUND(OFFSET($P94,0,AG$13),15-13*ORÇAMENTO!$AF$7)*OFFSET(ORÇAMENTO!$W$15,ROW(AG94)-ROW(AG$15),0),15-13*ORÇAMENTO!$AF$11)),0)</f>
        <v>0</v>
      </c>
      <c r="AH94" s="545">
        <f ca="1">IF(AND($D94="Serviço",AH$12&lt;&gt;0,$H94&gt;0,OR(AUTOEVENTO&lt;&gt;"manual",$M94&lt;&gt;1)), IF(Import.TipoArredondamento&lt;&gt;"TransfereGOV", ROUND(OFFSET($P94,0,AH$13),15-13*ORÇAMENTO!$AF$7)/$H94*OFFSET(ORÇAMENTO!$X$15,ROW(AH94)-ROW(AH$15),0), ROUND(ROUND(OFFSET($P94,0,AH$13),15-13*ORÇAMENTO!$AF$7)*OFFSET(ORÇAMENTO!$W$15,ROW(AH94)-ROW(AH$15),0),15-13*ORÇAMENTO!$AF$11)),0)</f>
        <v>0</v>
      </c>
      <c r="AI94" s="545">
        <f ca="1">IF(AND($D94="Serviço",AI$12&lt;&gt;0,$H94&gt;0,OR(AUTOEVENTO&lt;&gt;"manual",$M94&lt;&gt;1)), IF(Import.TipoArredondamento&lt;&gt;"TransfereGOV", ROUND(OFFSET($P94,0,AI$13),15-13*ORÇAMENTO!$AF$7)/$H94*OFFSET(ORÇAMENTO!$X$15,ROW(AI94)-ROW(AI$15),0), ROUND(ROUND(OFFSET($P94,0,AI$13),15-13*ORÇAMENTO!$AF$7)*OFFSET(ORÇAMENTO!$W$15,ROW(AI94)-ROW(AI$15),0),15-13*ORÇAMENTO!$AF$11)),0)</f>
        <v>0</v>
      </c>
      <c r="AJ94" s="545">
        <f ca="1">IF(AND($D94="Serviço",AJ$12&lt;&gt;0,$H94&gt;0,OR(AUTOEVENTO&lt;&gt;"manual",$M94&lt;&gt;1)), IF(Import.TipoArredondamento&lt;&gt;"TransfereGOV", ROUND(OFFSET($P94,0,AJ$13),15-13*ORÇAMENTO!$AF$7)/$H94*OFFSET(ORÇAMENTO!$X$15,ROW(AJ94)-ROW(AJ$15),0), ROUND(ROUND(OFFSET($P94,0,AJ$13),15-13*ORÇAMENTO!$AF$7)*OFFSET(ORÇAMENTO!$W$15,ROW(AJ94)-ROW(AJ$15),0),15-13*ORÇAMENTO!$AF$11)),0)</f>
        <v>0</v>
      </c>
      <c r="AK94" s="546">
        <f ca="1">IF(AND($D94="Serviço",AK$12&lt;&gt;0,$H94&gt;0,OR(AUTOEVENTO&lt;&gt;"manual",$M94&lt;&gt;1)), IF(Import.TipoArredondamento&lt;&gt;"TransfereGOV", ROUND(OFFSET($P94,0,AK$13),15-13*ORÇAMENTO!$AF$7)/$H94*OFFSET(ORÇAMENTO!$X$15,ROW(AK94)-ROW(AK$15),0), ROUND(ROUND(OFFSET($P94,0,AK$13),15-13*ORÇAMENTO!$AF$7)*OFFSET(ORÇAMENTO!$W$15,ROW(AK94)-ROW(AK$15),0),15-13*ORÇAMENTO!$AF$11)),0)</f>
        <v>0</v>
      </c>
      <c r="AM94" s="181">
        <f ca="1">IF($D94&lt;&gt;"Serviço",0,IF(AND(AUTOEVENTO="Manual",$M94=1),0,IF(OFFSET(CRONOPLE!$F$14,$M94,AM$13)="",10^12,OFFSET(CRONOPLE!$F$14,$M94,AM$13))))</f>
        <v>1000000000000</v>
      </c>
      <c r="AN94" s="181">
        <f ca="1">IF($D94&lt;&gt;"Serviço",0,IF(AND(AUTOEVENTO="Manual",$M94=1),0,IF(OFFSET(CRONOPLE!$F$14,$M94,AN$13)="",10^12,OFFSET(CRONOPLE!$F$14,$M94,AN$13))))</f>
        <v>1000000000000</v>
      </c>
      <c r="AO94" s="181">
        <f ca="1">IF($D94&lt;&gt;"Serviço",0,IF(AND(AUTOEVENTO="Manual",$M94=1),0,IF(OFFSET(CRONOPLE!$F$14,$M94,AO$13)="",10^12,OFFSET(CRONOPLE!$F$14,$M94,AO$13))))</f>
        <v>1000000000000</v>
      </c>
      <c r="AP94" s="181">
        <f ca="1">IF($D94&lt;&gt;"Serviço",0,IF(AND(AUTOEVENTO="Manual",$M94=1),0,IF(OFFSET(CRONOPLE!$F$14,$M94,AP$13)="",10^12,OFFSET(CRONOPLE!$F$14,$M94,AP$13))))</f>
        <v>1000000000000</v>
      </c>
      <c r="AQ94" s="181">
        <f ca="1">IF($D94&lt;&gt;"Serviço",0,IF(AND(AUTOEVENTO="Manual",$M94=1),0,IF(OFFSET(CRONOPLE!$F$14,$M94,AQ$13)="",10^12,OFFSET(CRONOPLE!$F$14,$M94,AQ$13))))</f>
        <v>1000000000000</v>
      </c>
      <c r="AR94" s="181">
        <f ca="1">IF($D94&lt;&gt;"Serviço",0,IF(AND(AUTOEVENTO="Manual",$M94=1),0,IF(OFFSET(CRONOPLE!$F$14,$M94,AR$13)="",10^12,OFFSET(CRONOPLE!$F$14,$M94,AR$13))))</f>
        <v>1000000000000</v>
      </c>
      <c r="AS94" s="181">
        <f ca="1">IF($D94&lt;&gt;"Serviço",0,IF(AND(AUTOEVENTO="Manual",$M94=1),0,IF(OFFSET(CRONOPLE!$F$14,$M94,AS$13)="",10^12,OFFSET(CRONOPLE!$F$14,$M94,AS$13))))</f>
        <v>1000000000000</v>
      </c>
      <c r="AT94" s="181">
        <f ca="1">IF($D94&lt;&gt;"Serviço",0,IF(AND(AUTOEVENTO="Manual",$M94=1),0,IF(OFFSET(CRONOPLE!$F$14,$M94,AT$13)="",10^12,OFFSET(CRONOPLE!$F$14,$M94,AT$13))))</f>
        <v>1000000000000</v>
      </c>
      <c r="AU94" s="181">
        <f ca="1">IF($D94&lt;&gt;"Serviço",0,IF(AND(AUTOEVENTO="Manual",$M94=1),0,IF(OFFSET(CRONOPLE!$F$14,$M94,AU$13)="",10^12,OFFSET(CRONOPLE!$F$14,$M94,AU$13))))</f>
        <v>1000000000000</v>
      </c>
      <c r="AV94" s="181">
        <f ca="1">IF($D94&lt;&gt;"Serviço",0,IF(AND(AUTOEVENTO="Manual",$M94=1),0,IF(OFFSET(CRONOPLE!$F$14,$M94,AV$13)="",10^12,OFFSET(CRONOPLE!$F$14,$M94,AV$13))))</f>
        <v>1000000000000</v>
      </c>
      <c r="AX94" s="182">
        <f ca="1">IF($D94&lt;&gt;"Serviço",0,IF(OR(AND(AUTOEVENTO="Manual",$M94=1),$M94&gt;(ROW(PLE.lastrow)-ROW(PLE.firstrow))),0,IF(OFFSET(PLE!$G$14,$M94,AX$13)="",10^12,OFFSET(PLE!$G$14,$M94,AX$13))))</f>
        <v>1000000000000</v>
      </c>
      <c r="AY94" s="182">
        <f ca="1">IF($D94&lt;&gt;"Serviço",0,IF(OR(AND(AUTOEVENTO="Manual",$M94=1),$M94&gt;(ROW(PLE.lastrow)-ROW(PLE.firstrow))),0,IF(OFFSET(PLE!$G$14,$M94,AY$13)="",10^12,OFFSET(PLE!$G$14,$M94,AY$13))))</f>
        <v>1000000000000</v>
      </c>
      <c r="AZ94" s="182">
        <f ca="1">IF($D94&lt;&gt;"Serviço",0,IF(OR(AND(AUTOEVENTO="Manual",$M94=1),$M94&gt;(ROW(PLE.lastrow)-ROW(PLE.firstrow))),0,IF(OFFSET(PLE!$G$14,$M94,AZ$13)="",10^12,OFFSET(PLE!$G$14,$M94,AZ$13))))</f>
        <v>1000000000000</v>
      </c>
      <c r="BA94" s="182">
        <f ca="1">IF($D94&lt;&gt;"Serviço",0,IF(OR(AND(AUTOEVENTO="Manual",$M94=1),$M94&gt;(ROW(PLE.lastrow)-ROW(PLE.firstrow))),0,IF(OFFSET(PLE!$G$14,$M94,BA$13)="",10^12,OFFSET(PLE!$G$14,$M94,BA$13))))</f>
        <v>1000000000000</v>
      </c>
      <c r="BB94" s="182">
        <f ca="1">IF($D94&lt;&gt;"Serviço",0,IF(OR(AND(AUTOEVENTO="Manual",$M94=1),$M94&gt;(ROW(PLE.lastrow)-ROW(PLE.firstrow))),0,IF(OFFSET(PLE!$G$14,$M94,BB$13)="",10^12,OFFSET(PLE!$G$14,$M94,BB$13))))</f>
        <v>1000000000000</v>
      </c>
      <c r="BC94" s="182">
        <f ca="1">IF($D94&lt;&gt;"Serviço",0,IF(OR(AND(AUTOEVENTO="Manual",$M94=1),$M94&gt;(ROW(PLE.lastrow)-ROW(PLE.firstrow))),0,IF(OFFSET(PLE!$G$14,$M94,BC$13)="",10^12,OFFSET(PLE!$G$14,$M94,BC$13))))</f>
        <v>1000000000000</v>
      </c>
      <c r="BD94" s="182">
        <f ca="1">IF($D94&lt;&gt;"Serviço",0,IF(OR(AND(AUTOEVENTO="Manual",$M94=1),$M94&gt;(ROW(PLE.lastrow)-ROW(PLE.firstrow))),0,IF(OFFSET(PLE!$G$14,$M94,BD$13)="",10^12,OFFSET(PLE!$G$14,$M94,BD$13))))</f>
        <v>1000000000000</v>
      </c>
      <c r="BE94" s="182">
        <f ca="1">IF($D94&lt;&gt;"Serviço",0,IF(OR(AND(AUTOEVENTO="Manual",$M94=1),$M94&gt;(ROW(PLE.lastrow)-ROW(PLE.firstrow))),0,IF(OFFSET(PLE!$G$14,$M94,BE$13)="",10^12,OFFSET(PLE!$G$14,$M94,BE$13))))</f>
        <v>1000000000000</v>
      </c>
      <c r="BF94" s="182">
        <f ca="1">IF($D94&lt;&gt;"Serviço",0,IF(OR(AND(AUTOEVENTO="Manual",$M94=1),$M94&gt;(ROW(PLE.lastrow)-ROW(PLE.firstrow))),0,IF(OFFSET(PLE!$G$14,$M94,BF$13)="",10^12,OFFSET(PLE!$G$14,$M94,BF$13))))</f>
        <v>1000000000000</v>
      </c>
      <c r="BG94" s="182">
        <f ca="1">IF($D94&lt;&gt;"Serviço",0,IF(OR(AND(AUTOEVENTO="Manual",$M94=1),$M94&gt;(ROW(PLE.lastrow)-ROW(PLE.firstrow))),0,IF(OFFSET(PLE!$G$14,$M94,BG$13)="",10^12,OFFSET(PLE!$G$14,$M94,BG$13))))</f>
        <v>1000000000000</v>
      </c>
    </row>
    <row r="95" spans="1:59" ht="12.75" x14ac:dyDescent="0.2">
      <c r="A95" s="7" t="str">
        <f t="shared" ca="1" si="8"/>
        <v>77</v>
      </c>
      <c r="B95" s="7" t="str">
        <f ca="1">OFFSET(ORÇAMENTO!C$15,ROW(B95)-ROW(B$15),0)</f>
        <v>S</v>
      </c>
      <c r="C95" s="7" t="str">
        <f ca="1">OFFSET(ORÇAMENTO!L$15,ROW(C95)-ROW(C$15),0)</f>
        <v>F</v>
      </c>
      <c r="D95" s="118" t="str">
        <f ca="1">OFFSET(ORÇAMENTO!N$15,ROW(D95)-ROW(D$15),0)</f>
        <v>Serviço</v>
      </c>
      <c r="E95" s="119" t="str">
        <f ca="1">OFFSET(ORÇAMENTO!O$15,ROW(E95)-ROW(E$15),0)</f>
        <v>3.2.3.</v>
      </c>
      <c r="F95" s="172" t="str">
        <f ca="1">OFFSET(ORÇAMENTO!R$15,ROW(F95)-ROW(F$15),0)</f>
        <v>Auxiliar de topografia</v>
      </c>
      <c r="G95" s="173" t="str">
        <f ca="1">IF($D95&lt;&gt;"Serviço","",OFFSET(ORÇAMENTO!S$15,ROW(G95)-ROW(G$15),0))</f>
        <v>h</v>
      </c>
      <c r="H95" s="124">
        <f ca="1">IF($D95&lt;&gt;"Serviço",0,IF(ACOMPANHAMENTO="BM",ROUND(OFFSET(ORÇAMENTO!AJ$15,ROW(H95)-ROW(H$15),0),15-13*ORÇAMENTO!$AF$7),SUMPRODUCT(($Q$12:$AA$12&lt;&gt;"")*ROUND($Q95:$AA95,15-13*ORÇAMENTO!$AF$7))))</f>
        <v>30</v>
      </c>
      <c r="I95" s="561"/>
      <c r="K95" s="174"/>
      <c r="L95" s="175" t="s">
        <v>255</v>
      </c>
      <c r="M95" s="176">
        <f ca="1">IF($D95&lt;&gt;"Serviço","",IF(AUTOEVENTO="manual",$A95,IF(ISERROR(MATCH($A95,$A$15:OFFSET($A95,-1,0),0)),MAX($M$15:OFFSET(M95,-1,0))+1,INDEX($M$15:OFFSET(M95,-1,0),MATCH($A95,$A$15:OFFSET($A95,-1,0),0)))))</f>
        <v>13</v>
      </c>
      <c r="N95" s="177" t="str">
        <f ca="1">IF($D95&lt;&gt;"Serviço","",IF(AUTOEVENTO="Manual",IF($A95=0,"&lt;-- defina o número do agrupador",OFFSET(EVENTOS!$D$14,$A95,0)),OFFSET($F$15,$A95,0)))</f>
        <v>ADMINISTRAÇÃO LOCAL</v>
      </c>
      <c r="O95" s="178"/>
      <c r="Q95" s="178"/>
      <c r="R95" s="179"/>
      <c r="S95" s="179"/>
      <c r="T95" s="179"/>
      <c r="U95" s="179"/>
      <c r="V95" s="179"/>
      <c r="W95" s="179"/>
      <c r="X95" s="179"/>
      <c r="Y95" s="179"/>
      <c r="Z95" s="180"/>
      <c r="AB95" s="544">
        <f ca="1">IF(AND($D95="Serviço",AB$12&lt;&gt;0,$H95&gt;0,OR(AUTOEVENTO&lt;&gt;"manual",$M95&lt;&gt;1)), IF(Import.TipoArredondamento&lt;&gt;"TransfereGOV", ROUND(OFFSET($P95,0,AB$13),15-13*ORÇAMENTO!$AF$7)/$H95*OFFSET(ORÇAMENTO!$X$15,ROW(AB95)-ROW(AB$15),0), ROUND(ROUND(OFFSET($P95,0,AB$13),15-13*ORÇAMENTO!$AF$7)*OFFSET(ORÇAMENTO!$W$15,ROW(AB95)-ROW(AB$15),0),15-13*ORÇAMENTO!$AF$11)),0)</f>
        <v>0</v>
      </c>
      <c r="AC95" s="545">
        <f ca="1">IF(AND($D95="Serviço",AC$12&lt;&gt;0,$H95&gt;0,OR(AUTOEVENTO&lt;&gt;"manual",$M95&lt;&gt;1)), IF(Import.TipoArredondamento&lt;&gt;"TransfereGOV", ROUND(OFFSET($P95,0,AC$13),15-13*ORÇAMENTO!$AF$7)/$H95*OFFSET(ORÇAMENTO!$X$15,ROW(AC95)-ROW(AC$15),0), ROUND(ROUND(OFFSET($P95,0,AC$13),15-13*ORÇAMENTO!$AF$7)*OFFSET(ORÇAMENTO!$W$15,ROW(AC95)-ROW(AC$15),0),15-13*ORÇAMENTO!$AF$11)),0)</f>
        <v>0</v>
      </c>
      <c r="AD95" s="545">
        <f ca="1">IF(AND($D95="Serviço",AD$12&lt;&gt;0,$H95&gt;0,OR(AUTOEVENTO&lt;&gt;"manual",$M95&lt;&gt;1)), IF(Import.TipoArredondamento&lt;&gt;"TransfereGOV", ROUND(OFFSET($P95,0,AD$13),15-13*ORÇAMENTO!$AF$7)/$H95*OFFSET(ORÇAMENTO!$X$15,ROW(AD95)-ROW(AD$15),0), ROUND(ROUND(OFFSET($P95,0,AD$13),15-13*ORÇAMENTO!$AF$7)*OFFSET(ORÇAMENTO!$W$15,ROW(AD95)-ROW(AD$15),0),15-13*ORÇAMENTO!$AF$11)),0)</f>
        <v>0</v>
      </c>
      <c r="AE95" s="545">
        <f ca="1">IF(AND($D95="Serviço",AE$12&lt;&gt;0,$H95&gt;0,OR(AUTOEVENTO&lt;&gt;"manual",$M95&lt;&gt;1)), IF(Import.TipoArredondamento&lt;&gt;"TransfereGOV", ROUND(OFFSET($P95,0,AE$13),15-13*ORÇAMENTO!$AF$7)/$H95*OFFSET(ORÇAMENTO!$X$15,ROW(AE95)-ROW(AE$15),0), ROUND(ROUND(OFFSET($P95,0,AE$13),15-13*ORÇAMENTO!$AF$7)*OFFSET(ORÇAMENTO!$W$15,ROW(AE95)-ROW(AE$15),0),15-13*ORÇAMENTO!$AF$11)),0)</f>
        <v>0</v>
      </c>
      <c r="AF95" s="545">
        <f ca="1">IF(AND($D95="Serviço",AF$12&lt;&gt;0,$H95&gt;0,OR(AUTOEVENTO&lt;&gt;"manual",$M95&lt;&gt;1)), IF(Import.TipoArredondamento&lt;&gt;"TransfereGOV", ROUND(OFFSET($P95,0,AF$13),15-13*ORÇAMENTO!$AF$7)/$H95*OFFSET(ORÇAMENTO!$X$15,ROW(AF95)-ROW(AF$15),0), ROUND(ROUND(OFFSET($P95,0,AF$13),15-13*ORÇAMENTO!$AF$7)*OFFSET(ORÇAMENTO!$W$15,ROW(AF95)-ROW(AF$15),0),15-13*ORÇAMENTO!$AF$11)),0)</f>
        <v>0</v>
      </c>
      <c r="AG95" s="545">
        <f ca="1">IF(AND($D95="Serviço",AG$12&lt;&gt;0,$H95&gt;0,OR(AUTOEVENTO&lt;&gt;"manual",$M95&lt;&gt;1)), IF(Import.TipoArredondamento&lt;&gt;"TransfereGOV", ROUND(OFFSET($P95,0,AG$13),15-13*ORÇAMENTO!$AF$7)/$H95*OFFSET(ORÇAMENTO!$X$15,ROW(AG95)-ROW(AG$15),0), ROUND(ROUND(OFFSET($P95,0,AG$13),15-13*ORÇAMENTO!$AF$7)*OFFSET(ORÇAMENTO!$W$15,ROW(AG95)-ROW(AG$15),0),15-13*ORÇAMENTO!$AF$11)),0)</f>
        <v>0</v>
      </c>
      <c r="AH95" s="545">
        <f ca="1">IF(AND($D95="Serviço",AH$12&lt;&gt;0,$H95&gt;0,OR(AUTOEVENTO&lt;&gt;"manual",$M95&lt;&gt;1)), IF(Import.TipoArredondamento&lt;&gt;"TransfereGOV", ROUND(OFFSET($P95,0,AH$13),15-13*ORÇAMENTO!$AF$7)/$H95*OFFSET(ORÇAMENTO!$X$15,ROW(AH95)-ROW(AH$15),0), ROUND(ROUND(OFFSET($P95,0,AH$13),15-13*ORÇAMENTO!$AF$7)*OFFSET(ORÇAMENTO!$W$15,ROW(AH95)-ROW(AH$15),0),15-13*ORÇAMENTO!$AF$11)),0)</f>
        <v>0</v>
      </c>
      <c r="AI95" s="545">
        <f ca="1">IF(AND($D95="Serviço",AI$12&lt;&gt;0,$H95&gt;0,OR(AUTOEVENTO&lt;&gt;"manual",$M95&lt;&gt;1)), IF(Import.TipoArredondamento&lt;&gt;"TransfereGOV", ROUND(OFFSET($P95,0,AI$13),15-13*ORÇAMENTO!$AF$7)/$H95*OFFSET(ORÇAMENTO!$X$15,ROW(AI95)-ROW(AI$15),0), ROUND(ROUND(OFFSET($P95,0,AI$13),15-13*ORÇAMENTO!$AF$7)*OFFSET(ORÇAMENTO!$W$15,ROW(AI95)-ROW(AI$15),0),15-13*ORÇAMENTO!$AF$11)),0)</f>
        <v>0</v>
      </c>
      <c r="AJ95" s="545">
        <f ca="1">IF(AND($D95="Serviço",AJ$12&lt;&gt;0,$H95&gt;0,OR(AUTOEVENTO&lt;&gt;"manual",$M95&lt;&gt;1)), IF(Import.TipoArredondamento&lt;&gt;"TransfereGOV", ROUND(OFFSET($P95,0,AJ$13),15-13*ORÇAMENTO!$AF$7)/$H95*OFFSET(ORÇAMENTO!$X$15,ROW(AJ95)-ROW(AJ$15),0), ROUND(ROUND(OFFSET($P95,0,AJ$13),15-13*ORÇAMENTO!$AF$7)*OFFSET(ORÇAMENTO!$W$15,ROW(AJ95)-ROW(AJ$15),0),15-13*ORÇAMENTO!$AF$11)),0)</f>
        <v>0</v>
      </c>
      <c r="AK95" s="546">
        <f ca="1">IF(AND($D95="Serviço",AK$12&lt;&gt;0,$H95&gt;0,OR(AUTOEVENTO&lt;&gt;"manual",$M95&lt;&gt;1)), IF(Import.TipoArredondamento&lt;&gt;"TransfereGOV", ROUND(OFFSET($P95,0,AK$13),15-13*ORÇAMENTO!$AF$7)/$H95*OFFSET(ORÇAMENTO!$X$15,ROW(AK95)-ROW(AK$15),0), ROUND(ROUND(OFFSET($P95,0,AK$13),15-13*ORÇAMENTO!$AF$7)*OFFSET(ORÇAMENTO!$W$15,ROW(AK95)-ROW(AK$15),0),15-13*ORÇAMENTO!$AF$11)),0)</f>
        <v>0</v>
      </c>
      <c r="AM95" s="181">
        <f ca="1">IF($D95&lt;&gt;"Serviço",0,IF(AND(AUTOEVENTO="Manual",$M95=1),0,IF(OFFSET(CRONOPLE!$F$14,$M95,AM$13)="",10^12,OFFSET(CRONOPLE!$F$14,$M95,AM$13))))</f>
        <v>1000000000000</v>
      </c>
      <c r="AN95" s="181">
        <f ca="1">IF($D95&lt;&gt;"Serviço",0,IF(AND(AUTOEVENTO="Manual",$M95=1),0,IF(OFFSET(CRONOPLE!$F$14,$M95,AN$13)="",10^12,OFFSET(CRONOPLE!$F$14,$M95,AN$13))))</f>
        <v>1000000000000</v>
      </c>
      <c r="AO95" s="181">
        <f ca="1">IF($D95&lt;&gt;"Serviço",0,IF(AND(AUTOEVENTO="Manual",$M95=1),0,IF(OFFSET(CRONOPLE!$F$14,$M95,AO$13)="",10^12,OFFSET(CRONOPLE!$F$14,$M95,AO$13))))</f>
        <v>1000000000000</v>
      </c>
      <c r="AP95" s="181">
        <f ca="1">IF($D95&lt;&gt;"Serviço",0,IF(AND(AUTOEVENTO="Manual",$M95=1),0,IF(OFFSET(CRONOPLE!$F$14,$M95,AP$13)="",10^12,OFFSET(CRONOPLE!$F$14,$M95,AP$13))))</f>
        <v>1000000000000</v>
      </c>
      <c r="AQ95" s="181">
        <f ca="1">IF($D95&lt;&gt;"Serviço",0,IF(AND(AUTOEVENTO="Manual",$M95=1),0,IF(OFFSET(CRONOPLE!$F$14,$M95,AQ$13)="",10^12,OFFSET(CRONOPLE!$F$14,$M95,AQ$13))))</f>
        <v>1000000000000</v>
      </c>
      <c r="AR95" s="181">
        <f ca="1">IF($D95&lt;&gt;"Serviço",0,IF(AND(AUTOEVENTO="Manual",$M95=1),0,IF(OFFSET(CRONOPLE!$F$14,$M95,AR$13)="",10^12,OFFSET(CRONOPLE!$F$14,$M95,AR$13))))</f>
        <v>1000000000000</v>
      </c>
      <c r="AS95" s="181">
        <f ca="1">IF($D95&lt;&gt;"Serviço",0,IF(AND(AUTOEVENTO="Manual",$M95=1),0,IF(OFFSET(CRONOPLE!$F$14,$M95,AS$13)="",10^12,OFFSET(CRONOPLE!$F$14,$M95,AS$13))))</f>
        <v>1000000000000</v>
      </c>
      <c r="AT95" s="181">
        <f ca="1">IF($D95&lt;&gt;"Serviço",0,IF(AND(AUTOEVENTO="Manual",$M95=1),0,IF(OFFSET(CRONOPLE!$F$14,$M95,AT$13)="",10^12,OFFSET(CRONOPLE!$F$14,$M95,AT$13))))</f>
        <v>1000000000000</v>
      </c>
      <c r="AU95" s="181">
        <f ca="1">IF($D95&lt;&gt;"Serviço",0,IF(AND(AUTOEVENTO="Manual",$M95=1),0,IF(OFFSET(CRONOPLE!$F$14,$M95,AU$13)="",10^12,OFFSET(CRONOPLE!$F$14,$M95,AU$13))))</f>
        <v>1000000000000</v>
      </c>
      <c r="AV95" s="181">
        <f ca="1">IF($D95&lt;&gt;"Serviço",0,IF(AND(AUTOEVENTO="Manual",$M95=1),0,IF(OFFSET(CRONOPLE!$F$14,$M95,AV$13)="",10^12,OFFSET(CRONOPLE!$F$14,$M95,AV$13))))</f>
        <v>1000000000000</v>
      </c>
      <c r="AX95" s="182">
        <f ca="1">IF($D95&lt;&gt;"Serviço",0,IF(OR(AND(AUTOEVENTO="Manual",$M95=1),$M95&gt;(ROW(PLE.lastrow)-ROW(PLE.firstrow))),0,IF(OFFSET(PLE!$G$14,$M95,AX$13)="",10^12,OFFSET(PLE!$G$14,$M95,AX$13))))</f>
        <v>1000000000000</v>
      </c>
      <c r="AY95" s="182">
        <f ca="1">IF($D95&lt;&gt;"Serviço",0,IF(OR(AND(AUTOEVENTO="Manual",$M95=1),$M95&gt;(ROW(PLE.lastrow)-ROW(PLE.firstrow))),0,IF(OFFSET(PLE!$G$14,$M95,AY$13)="",10^12,OFFSET(PLE!$G$14,$M95,AY$13))))</f>
        <v>1000000000000</v>
      </c>
      <c r="AZ95" s="182">
        <f ca="1">IF($D95&lt;&gt;"Serviço",0,IF(OR(AND(AUTOEVENTO="Manual",$M95=1),$M95&gt;(ROW(PLE.lastrow)-ROW(PLE.firstrow))),0,IF(OFFSET(PLE!$G$14,$M95,AZ$13)="",10^12,OFFSET(PLE!$G$14,$M95,AZ$13))))</f>
        <v>1000000000000</v>
      </c>
      <c r="BA95" s="182">
        <f ca="1">IF($D95&lt;&gt;"Serviço",0,IF(OR(AND(AUTOEVENTO="Manual",$M95=1),$M95&gt;(ROW(PLE.lastrow)-ROW(PLE.firstrow))),0,IF(OFFSET(PLE!$G$14,$M95,BA$13)="",10^12,OFFSET(PLE!$G$14,$M95,BA$13))))</f>
        <v>1000000000000</v>
      </c>
      <c r="BB95" s="182">
        <f ca="1">IF($D95&lt;&gt;"Serviço",0,IF(OR(AND(AUTOEVENTO="Manual",$M95=1),$M95&gt;(ROW(PLE.lastrow)-ROW(PLE.firstrow))),0,IF(OFFSET(PLE!$G$14,$M95,BB$13)="",10^12,OFFSET(PLE!$G$14,$M95,BB$13))))</f>
        <v>1000000000000</v>
      </c>
      <c r="BC95" s="182">
        <f ca="1">IF($D95&lt;&gt;"Serviço",0,IF(OR(AND(AUTOEVENTO="Manual",$M95=1),$M95&gt;(ROW(PLE.lastrow)-ROW(PLE.firstrow))),0,IF(OFFSET(PLE!$G$14,$M95,BC$13)="",10^12,OFFSET(PLE!$G$14,$M95,BC$13))))</f>
        <v>1000000000000</v>
      </c>
      <c r="BD95" s="182">
        <f ca="1">IF($D95&lt;&gt;"Serviço",0,IF(OR(AND(AUTOEVENTO="Manual",$M95=1),$M95&gt;(ROW(PLE.lastrow)-ROW(PLE.firstrow))),0,IF(OFFSET(PLE!$G$14,$M95,BD$13)="",10^12,OFFSET(PLE!$G$14,$M95,BD$13))))</f>
        <v>1000000000000</v>
      </c>
      <c r="BE95" s="182">
        <f ca="1">IF($D95&lt;&gt;"Serviço",0,IF(OR(AND(AUTOEVENTO="Manual",$M95=1),$M95&gt;(ROW(PLE.lastrow)-ROW(PLE.firstrow))),0,IF(OFFSET(PLE!$G$14,$M95,BE$13)="",10^12,OFFSET(PLE!$G$14,$M95,BE$13))))</f>
        <v>1000000000000</v>
      </c>
      <c r="BF95" s="182">
        <f ca="1">IF($D95&lt;&gt;"Serviço",0,IF(OR(AND(AUTOEVENTO="Manual",$M95=1),$M95&gt;(ROW(PLE.lastrow)-ROW(PLE.firstrow))),0,IF(OFFSET(PLE!$G$14,$M95,BF$13)="",10^12,OFFSET(PLE!$G$14,$M95,BF$13))))</f>
        <v>1000000000000</v>
      </c>
      <c r="BG95" s="182">
        <f ca="1">IF($D95&lt;&gt;"Serviço",0,IF(OR(AND(AUTOEVENTO="Manual",$M95=1),$M95&gt;(ROW(PLE.lastrow)-ROW(PLE.firstrow))),0,IF(OFFSET(PLE!$G$14,$M95,BG$13)="",10^12,OFFSET(PLE!$G$14,$M95,BG$13))))</f>
        <v>1000000000000</v>
      </c>
    </row>
    <row r="96" spans="1:59" ht="12.75" x14ac:dyDescent="0.2">
      <c r="A96" s="7" t="str">
        <f t="shared" ca="1" si="8"/>
        <v>81.</v>
      </c>
      <c r="B96" s="7">
        <f ca="1">OFFSET(ORÇAMENTO!C$15,ROW(B96)-ROW(B$15),0)</f>
        <v>2</v>
      </c>
      <c r="C96" s="7" t="str">
        <f ca="1">OFFSET(ORÇAMENTO!L$15,ROW(C96)-ROW(C$15),0)</f>
        <v>F</v>
      </c>
      <c r="D96" s="118" t="str">
        <f ca="1">OFFSET(ORÇAMENTO!N$15,ROW(D96)-ROW(D$15),0)</f>
        <v>Nível 2</v>
      </c>
      <c r="E96" s="119" t="str">
        <f ca="1">OFFSET(ORÇAMENTO!O$15,ROW(E96)-ROW(E$15),0)</f>
        <v>3.3.</v>
      </c>
      <c r="F96" s="172" t="str">
        <f ca="1">OFFSET(ORÇAMENTO!R$15,ROW(F96)-ROW(F$15),0)</f>
        <v>DRENAGEM PLUVIAL</v>
      </c>
      <c r="G96" s="173" t="str">
        <f ca="1">IF($D96&lt;&gt;"Serviço","",OFFSET(ORÇAMENTO!S$15,ROW(G96)-ROW(G$15),0))</f>
        <v/>
      </c>
      <c r="H96" s="124">
        <f ca="1">IF($D96&lt;&gt;"Serviço",0,IF(ACOMPANHAMENTO="BM",ROUND(OFFSET(ORÇAMENTO!AJ$15,ROW(H96)-ROW(H$15),0),15-13*ORÇAMENTO!$AF$7),SUMPRODUCT(($Q$12:$AA$12&lt;&gt;"")*ROUND($Q96:$AA96,15-13*ORÇAMENTO!$AF$7))))</f>
        <v>0</v>
      </c>
      <c r="I96" s="561"/>
      <c r="K96" s="174"/>
      <c r="L96" s="175" t="s">
        <v>255</v>
      </c>
      <c r="M96" s="176" t="str">
        <f ca="1">IF($D96&lt;&gt;"Serviço","",IF(AUTOEVENTO="manual",$A96,IF(ISERROR(MATCH($A96,$A$15:OFFSET($A96,-1,0),0)),MAX($M$15:OFFSET(M96,-1,0))+1,INDEX($M$15:OFFSET(M96,-1,0),MATCH($A96,$A$15:OFFSET($A96,-1,0),0)))))</f>
        <v/>
      </c>
      <c r="N96" s="177" t="str">
        <f ca="1">IF($D96&lt;&gt;"Serviço","",IF(AUTOEVENTO="Manual",IF($A96=0,"&lt;-- defina o número do agrupador",OFFSET(EVENTOS!$D$14,$A96,0)),OFFSET($F$15,$A96,0)))</f>
        <v/>
      </c>
      <c r="O96" s="178"/>
      <c r="Q96" s="178"/>
      <c r="R96" s="179"/>
      <c r="S96" s="179"/>
      <c r="T96" s="179"/>
      <c r="U96" s="179"/>
      <c r="V96" s="179"/>
      <c r="W96" s="179"/>
      <c r="X96" s="179"/>
      <c r="Y96" s="179"/>
      <c r="Z96" s="180"/>
      <c r="AB96" s="544">
        <f ca="1">IF(AND($D96="Serviço",AB$12&lt;&gt;0,$H96&gt;0,OR(AUTOEVENTO&lt;&gt;"manual",$M96&lt;&gt;1)), IF(Import.TipoArredondamento&lt;&gt;"TransfereGOV", ROUND(OFFSET($P96,0,AB$13),15-13*ORÇAMENTO!$AF$7)/$H96*OFFSET(ORÇAMENTO!$X$15,ROW(AB96)-ROW(AB$15),0), ROUND(ROUND(OFFSET($P96,0,AB$13),15-13*ORÇAMENTO!$AF$7)*OFFSET(ORÇAMENTO!$W$15,ROW(AB96)-ROW(AB$15),0),15-13*ORÇAMENTO!$AF$11)),0)</f>
        <v>0</v>
      </c>
      <c r="AC96" s="545">
        <f ca="1">IF(AND($D96="Serviço",AC$12&lt;&gt;0,$H96&gt;0,OR(AUTOEVENTO&lt;&gt;"manual",$M96&lt;&gt;1)), IF(Import.TipoArredondamento&lt;&gt;"TransfereGOV", ROUND(OFFSET($P96,0,AC$13),15-13*ORÇAMENTO!$AF$7)/$H96*OFFSET(ORÇAMENTO!$X$15,ROW(AC96)-ROW(AC$15),0), ROUND(ROUND(OFFSET($P96,0,AC$13),15-13*ORÇAMENTO!$AF$7)*OFFSET(ORÇAMENTO!$W$15,ROW(AC96)-ROW(AC$15),0),15-13*ORÇAMENTO!$AF$11)),0)</f>
        <v>0</v>
      </c>
      <c r="AD96" s="545">
        <f ca="1">IF(AND($D96="Serviço",AD$12&lt;&gt;0,$H96&gt;0,OR(AUTOEVENTO&lt;&gt;"manual",$M96&lt;&gt;1)), IF(Import.TipoArredondamento&lt;&gt;"TransfereGOV", ROUND(OFFSET($P96,0,AD$13),15-13*ORÇAMENTO!$AF$7)/$H96*OFFSET(ORÇAMENTO!$X$15,ROW(AD96)-ROW(AD$15),0), ROUND(ROUND(OFFSET($P96,0,AD$13),15-13*ORÇAMENTO!$AF$7)*OFFSET(ORÇAMENTO!$W$15,ROW(AD96)-ROW(AD$15),0),15-13*ORÇAMENTO!$AF$11)),0)</f>
        <v>0</v>
      </c>
      <c r="AE96" s="545">
        <f ca="1">IF(AND($D96="Serviço",AE$12&lt;&gt;0,$H96&gt;0,OR(AUTOEVENTO&lt;&gt;"manual",$M96&lt;&gt;1)), IF(Import.TipoArredondamento&lt;&gt;"TransfereGOV", ROUND(OFFSET($P96,0,AE$13),15-13*ORÇAMENTO!$AF$7)/$H96*OFFSET(ORÇAMENTO!$X$15,ROW(AE96)-ROW(AE$15),0), ROUND(ROUND(OFFSET($P96,0,AE$13),15-13*ORÇAMENTO!$AF$7)*OFFSET(ORÇAMENTO!$W$15,ROW(AE96)-ROW(AE$15),0),15-13*ORÇAMENTO!$AF$11)),0)</f>
        <v>0</v>
      </c>
      <c r="AF96" s="545">
        <f ca="1">IF(AND($D96="Serviço",AF$12&lt;&gt;0,$H96&gt;0,OR(AUTOEVENTO&lt;&gt;"manual",$M96&lt;&gt;1)), IF(Import.TipoArredondamento&lt;&gt;"TransfereGOV", ROUND(OFFSET($P96,0,AF$13),15-13*ORÇAMENTO!$AF$7)/$H96*OFFSET(ORÇAMENTO!$X$15,ROW(AF96)-ROW(AF$15),0), ROUND(ROUND(OFFSET($P96,0,AF$13),15-13*ORÇAMENTO!$AF$7)*OFFSET(ORÇAMENTO!$W$15,ROW(AF96)-ROW(AF$15),0),15-13*ORÇAMENTO!$AF$11)),0)</f>
        <v>0</v>
      </c>
      <c r="AG96" s="545">
        <f ca="1">IF(AND($D96="Serviço",AG$12&lt;&gt;0,$H96&gt;0,OR(AUTOEVENTO&lt;&gt;"manual",$M96&lt;&gt;1)), IF(Import.TipoArredondamento&lt;&gt;"TransfereGOV", ROUND(OFFSET($P96,0,AG$13),15-13*ORÇAMENTO!$AF$7)/$H96*OFFSET(ORÇAMENTO!$X$15,ROW(AG96)-ROW(AG$15),0), ROUND(ROUND(OFFSET($P96,0,AG$13),15-13*ORÇAMENTO!$AF$7)*OFFSET(ORÇAMENTO!$W$15,ROW(AG96)-ROW(AG$15),0),15-13*ORÇAMENTO!$AF$11)),0)</f>
        <v>0</v>
      </c>
      <c r="AH96" s="545">
        <f ca="1">IF(AND($D96="Serviço",AH$12&lt;&gt;0,$H96&gt;0,OR(AUTOEVENTO&lt;&gt;"manual",$M96&lt;&gt;1)), IF(Import.TipoArredondamento&lt;&gt;"TransfereGOV", ROUND(OFFSET($P96,0,AH$13),15-13*ORÇAMENTO!$AF$7)/$H96*OFFSET(ORÇAMENTO!$X$15,ROW(AH96)-ROW(AH$15),0), ROUND(ROUND(OFFSET($P96,0,AH$13),15-13*ORÇAMENTO!$AF$7)*OFFSET(ORÇAMENTO!$W$15,ROW(AH96)-ROW(AH$15),0),15-13*ORÇAMENTO!$AF$11)),0)</f>
        <v>0</v>
      </c>
      <c r="AI96" s="545">
        <f ca="1">IF(AND($D96="Serviço",AI$12&lt;&gt;0,$H96&gt;0,OR(AUTOEVENTO&lt;&gt;"manual",$M96&lt;&gt;1)), IF(Import.TipoArredondamento&lt;&gt;"TransfereGOV", ROUND(OFFSET($P96,0,AI$13),15-13*ORÇAMENTO!$AF$7)/$H96*OFFSET(ORÇAMENTO!$X$15,ROW(AI96)-ROW(AI$15),0), ROUND(ROUND(OFFSET($P96,0,AI$13),15-13*ORÇAMENTO!$AF$7)*OFFSET(ORÇAMENTO!$W$15,ROW(AI96)-ROW(AI$15),0),15-13*ORÇAMENTO!$AF$11)),0)</f>
        <v>0</v>
      </c>
      <c r="AJ96" s="545">
        <f ca="1">IF(AND($D96="Serviço",AJ$12&lt;&gt;0,$H96&gt;0,OR(AUTOEVENTO&lt;&gt;"manual",$M96&lt;&gt;1)), IF(Import.TipoArredondamento&lt;&gt;"TransfereGOV", ROUND(OFFSET($P96,0,AJ$13),15-13*ORÇAMENTO!$AF$7)/$H96*OFFSET(ORÇAMENTO!$X$15,ROW(AJ96)-ROW(AJ$15),0), ROUND(ROUND(OFFSET($P96,0,AJ$13),15-13*ORÇAMENTO!$AF$7)*OFFSET(ORÇAMENTO!$W$15,ROW(AJ96)-ROW(AJ$15),0),15-13*ORÇAMENTO!$AF$11)),0)</f>
        <v>0</v>
      </c>
      <c r="AK96" s="546">
        <f ca="1">IF(AND($D96="Serviço",AK$12&lt;&gt;0,$H96&gt;0,OR(AUTOEVENTO&lt;&gt;"manual",$M96&lt;&gt;1)), IF(Import.TipoArredondamento&lt;&gt;"TransfereGOV", ROUND(OFFSET($P96,0,AK$13),15-13*ORÇAMENTO!$AF$7)/$H96*OFFSET(ORÇAMENTO!$X$15,ROW(AK96)-ROW(AK$15),0), ROUND(ROUND(OFFSET($P96,0,AK$13),15-13*ORÇAMENTO!$AF$7)*OFFSET(ORÇAMENTO!$W$15,ROW(AK96)-ROW(AK$15),0),15-13*ORÇAMENTO!$AF$11)),0)</f>
        <v>0</v>
      </c>
      <c r="AM96" s="181">
        <f ca="1">IF($D96&lt;&gt;"Serviço",0,IF(AND(AUTOEVENTO="Manual",$M96=1),0,IF(OFFSET(CRONOPLE!$F$14,$M96,AM$13)="",10^12,OFFSET(CRONOPLE!$F$14,$M96,AM$13))))</f>
        <v>0</v>
      </c>
      <c r="AN96" s="181">
        <f ca="1">IF($D96&lt;&gt;"Serviço",0,IF(AND(AUTOEVENTO="Manual",$M96=1),0,IF(OFFSET(CRONOPLE!$F$14,$M96,AN$13)="",10^12,OFFSET(CRONOPLE!$F$14,$M96,AN$13))))</f>
        <v>0</v>
      </c>
      <c r="AO96" s="181">
        <f ca="1">IF($D96&lt;&gt;"Serviço",0,IF(AND(AUTOEVENTO="Manual",$M96=1),0,IF(OFFSET(CRONOPLE!$F$14,$M96,AO$13)="",10^12,OFFSET(CRONOPLE!$F$14,$M96,AO$13))))</f>
        <v>0</v>
      </c>
      <c r="AP96" s="181">
        <f ca="1">IF($D96&lt;&gt;"Serviço",0,IF(AND(AUTOEVENTO="Manual",$M96=1),0,IF(OFFSET(CRONOPLE!$F$14,$M96,AP$13)="",10^12,OFFSET(CRONOPLE!$F$14,$M96,AP$13))))</f>
        <v>0</v>
      </c>
      <c r="AQ96" s="181">
        <f ca="1">IF($D96&lt;&gt;"Serviço",0,IF(AND(AUTOEVENTO="Manual",$M96=1),0,IF(OFFSET(CRONOPLE!$F$14,$M96,AQ$13)="",10^12,OFFSET(CRONOPLE!$F$14,$M96,AQ$13))))</f>
        <v>0</v>
      </c>
      <c r="AR96" s="181">
        <f ca="1">IF($D96&lt;&gt;"Serviço",0,IF(AND(AUTOEVENTO="Manual",$M96=1),0,IF(OFFSET(CRONOPLE!$F$14,$M96,AR$13)="",10^12,OFFSET(CRONOPLE!$F$14,$M96,AR$13))))</f>
        <v>0</v>
      </c>
      <c r="AS96" s="181">
        <f ca="1">IF($D96&lt;&gt;"Serviço",0,IF(AND(AUTOEVENTO="Manual",$M96=1),0,IF(OFFSET(CRONOPLE!$F$14,$M96,AS$13)="",10^12,OFFSET(CRONOPLE!$F$14,$M96,AS$13))))</f>
        <v>0</v>
      </c>
      <c r="AT96" s="181">
        <f ca="1">IF($D96&lt;&gt;"Serviço",0,IF(AND(AUTOEVENTO="Manual",$M96=1),0,IF(OFFSET(CRONOPLE!$F$14,$M96,AT$13)="",10^12,OFFSET(CRONOPLE!$F$14,$M96,AT$13))))</f>
        <v>0</v>
      </c>
      <c r="AU96" s="181">
        <f ca="1">IF($D96&lt;&gt;"Serviço",0,IF(AND(AUTOEVENTO="Manual",$M96=1),0,IF(OFFSET(CRONOPLE!$F$14,$M96,AU$13)="",10^12,OFFSET(CRONOPLE!$F$14,$M96,AU$13))))</f>
        <v>0</v>
      </c>
      <c r="AV96" s="181">
        <f ca="1">IF($D96&lt;&gt;"Serviço",0,IF(AND(AUTOEVENTO="Manual",$M96=1),0,IF(OFFSET(CRONOPLE!$F$14,$M96,AV$13)="",10^12,OFFSET(CRONOPLE!$F$14,$M96,AV$13))))</f>
        <v>0</v>
      </c>
      <c r="AX96" s="182">
        <f ca="1">IF($D96&lt;&gt;"Serviço",0,IF(OR(AND(AUTOEVENTO="Manual",$M96=1),$M96&gt;(ROW(PLE.lastrow)-ROW(PLE.firstrow))),0,IF(OFFSET(PLE!$G$14,$M96,AX$13)="",10^12,OFFSET(PLE!$G$14,$M96,AX$13))))</f>
        <v>0</v>
      </c>
      <c r="AY96" s="182">
        <f ca="1">IF($D96&lt;&gt;"Serviço",0,IF(OR(AND(AUTOEVENTO="Manual",$M96=1),$M96&gt;(ROW(PLE.lastrow)-ROW(PLE.firstrow))),0,IF(OFFSET(PLE!$G$14,$M96,AY$13)="",10^12,OFFSET(PLE!$G$14,$M96,AY$13))))</f>
        <v>0</v>
      </c>
      <c r="AZ96" s="182">
        <f ca="1">IF($D96&lt;&gt;"Serviço",0,IF(OR(AND(AUTOEVENTO="Manual",$M96=1),$M96&gt;(ROW(PLE.lastrow)-ROW(PLE.firstrow))),0,IF(OFFSET(PLE!$G$14,$M96,AZ$13)="",10^12,OFFSET(PLE!$G$14,$M96,AZ$13))))</f>
        <v>0</v>
      </c>
      <c r="BA96" s="182">
        <f ca="1">IF($D96&lt;&gt;"Serviço",0,IF(OR(AND(AUTOEVENTO="Manual",$M96=1),$M96&gt;(ROW(PLE.lastrow)-ROW(PLE.firstrow))),0,IF(OFFSET(PLE!$G$14,$M96,BA$13)="",10^12,OFFSET(PLE!$G$14,$M96,BA$13))))</f>
        <v>0</v>
      </c>
      <c r="BB96" s="182">
        <f ca="1">IF($D96&lt;&gt;"Serviço",0,IF(OR(AND(AUTOEVENTO="Manual",$M96=1),$M96&gt;(ROW(PLE.lastrow)-ROW(PLE.firstrow))),0,IF(OFFSET(PLE!$G$14,$M96,BB$13)="",10^12,OFFSET(PLE!$G$14,$M96,BB$13))))</f>
        <v>0</v>
      </c>
      <c r="BC96" s="182">
        <f ca="1">IF($D96&lt;&gt;"Serviço",0,IF(OR(AND(AUTOEVENTO="Manual",$M96=1),$M96&gt;(ROW(PLE.lastrow)-ROW(PLE.firstrow))),0,IF(OFFSET(PLE!$G$14,$M96,BC$13)="",10^12,OFFSET(PLE!$G$14,$M96,BC$13))))</f>
        <v>0</v>
      </c>
      <c r="BD96" s="182">
        <f ca="1">IF($D96&lt;&gt;"Serviço",0,IF(OR(AND(AUTOEVENTO="Manual",$M96=1),$M96&gt;(ROW(PLE.lastrow)-ROW(PLE.firstrow))),0,IF(OFFSET(PLE!$G$14,$M96,BD$13)="",10^12,OFFSET(PLE!$G$14,$M96,BD$13))))</f>
        <v>0</v>
      </c>
      <c r="BE96" s="182">
        <f ca="1">IF($D96&lt;&gt;"Serviço",0,IF(OR(AND(AUTOEVENTO="Manual",$M96=1),$M96&gt;(ROW(PLE.lastrow)-ROW(PLE.firstrow))),0,IF(OFFSET(PLE!$G$14,$M96,BE$13)="",10^12,OFFSET(PLE!$G$14,$M96,BE$13))))</f>
        <v>0</v>
      </c>
      <c r="BF96" s="182">
        <f ca="1">IF($D96&lt;&gt;"Serviço",0,IF(OR(AND(AUTOEVENTO="Manual",$M96=1),$M96&gt;(ROW(PLE.lastrow)-ROW(PLE.firstrow))),0,IF(OFFSET(PLE!$G$14,$M96,BF$13)="",10^12,OFFSET(PLE!$G$14,$M96,BF$13))))</f>
        <v>0</v>
      </c>
      <c r="BG96" s="182">
        <f ca="1">IF($D96&lt;&gt;"Serviço",0,IF(OR(AND(AUTOEVENTO="Manual",$M96=1),$M96&gt;(ROW(PLE.lastrow)-ROW(PLE.firstrow))),0,IF(OFFSET(PLE!$G$14,$M96,BG$13)="",10^12,OFFSET(PLE!$G$14,$M96,BG$13))))</f>
        <v>0</v>
      </c>
    </row>
    <row r="97" spans="1:59" ht="38.25" x14ac:dyDescent="0.2">
      <c r="A97" s="7" t="str">
        <f t="shared" ca="1" si="8"/>
        <v>81</v>
      </c>
      <c r="B97" s="7" t="str">
        <f ca="1">OFFSET(ORÇAMENTO!C$15,ROW(B97)-ROW(B$15),0)</f>
        <v>S</v>
      </c>
      <c r="C97" s="7" t="str">
        <f ca="1">OFFSET(ORÇAMENTO!L$15,ROW(C97)-ROW(C$15),0)</f>
        <v>F</v>
      </c>
      <c r="D97" s="118" t="str">
        <f ca="1">OFFSET(ORÇAMENTO!N$15,ROW(D97)-ROW(D$15),0)</f>
        <v>Serviço</v>
      </c>
      <c r="E97" s="119" t="str">
        <f ca="1">OFFSET(ORÇAMENTO!O$15,ROW(E97)-ROW(E$15),0)</f>
        <v>3.3.1.</v>
      </c>
      <c r="F97" s="172" t="str">
        <f ca="1">OFFSET(ORÇAMENTO!R$15,ROW(F97)-ROW(F$15),0)</f>
        <v>Escavação, carga e transporte de material de 1ª categoria - DMT de 1.000 a 1.200 m - caminho de serviço pavimentado - com escavadeira e caminhão basculante de 14 m³</v>
      </c>
      <c r="G97" s="173" t="str">
        <f ca="1">IF($D97&lt;&gt;"Serviço","",OFFSET(ORÇAMENTO!S$15,ROW(G97)-ROW(G$15),0))</f>
        <v>m³</v>
      </c>
      <c r="H97" s="124">
        <f ca="1">IF($D97&lt;&gt;"Serviço",0,IF(ACOMPANHAMENTO="BM",ROUND(OFFSET(ORÇAMENTO!AJ$15,ROW(H97)-ROW(H$15),0),15-13*ORÇAMENTO!$AF$7),SUMPRODUCT(($Q$12:$AA$12&lt;&gt;"")*ROUND($Q97:$AA97,15-13*ORÇAMENTO!$AF$7))))</f>
        <v>128.52000000000001</v>
      </c>
      <c r="I97" s="561"/>
      <c r="K97" s="174"/>
      <c r="L97" s="175" t="s">
        <v>255</v>
      </c>
      <c r="M97" s="176">
        <f ca="1">IF($D97&lt;&gt;"Serviço","",IF(AUTOEVENTO="manual",$A97,IF(ISERROR(MATCH($A97,$A$15:OFFSET($A97,-1,0),0)),MAX($M$15:OFFSET(M97,-1,0))+1,INDEX($M$15:OFFSET(M97,-1,0),MATCH($A97,$A$15:OFFSET($A97,-1,0),0)))))</f>
        <v>14</v>
      </c>
      <c r="N97" s="177" t="str">
        <f ca="1">IF($D97&lt;&gt;"Serviço","",IF(AUTOEVENTO="Manual",IF($A97=0,"&lt;-- defina o número do agrupador",OFFSET(EVENTOS!$D$14,$A97,0)),OFFSET($F$15,$A97,0)))</f>
        <v>DRENAGEM PLUVIAL</v>
      </c>
      <c r="O97" s="178"/>
      <c r="Q97" s="178"/>
      <c r="R97" s="179"/>
      <c r="S97" s="179"/>
      <c r="T97" s="179"/>
      <c r="U97" s="179"/>
      <c r="V97" s="179"/>
      <c r="W97" s="179"/>
      <c r="X97" s="179"/>
      <c r="Y97" s="179"/>
      <c r="Z97" s="180"/>
      <c r="AB97" s="544">
        <f ca="1">IF(AND($D97="Serviço",AB$12&lt;&gt;0,$H97&gt;0,OR(AUTOEVENTO&lt;&gt;"manual",$M97&lt;&gt;1)), IF(Import.TipoArredondamento&lt;&gt;"TransfereGOV", ROUND(OFFSET($P97,0,AB$13),15-13*ORÇAMENTO!$AF$7)/$H97*OFFSET(ORÇAMENTO!$X$15,ROW(AB97)-ROW(AB$15),0), ROUND(ROUND(OFFSET($P97,0,AB$13),15-13*ORÇAMENTO!$AF$7)*OFFSET(ORÇAMENTO!$W$15,ROW(AB97)-ROW(AB$15),0),15-13*ORÇAMENTO!$AF$11)),0)</f>
        <v>0</v>
      </c>
      <c r="AC97" s="545">
        <f ca="1">IF(AND($D97="Serviço",AC$12&lt;&gt;0,$H97&gt;0,OR(AUTOEVENTO&lt;&gt;"manual",$M97&lt;&gt;1)), IF(Import.TipoArredondamento&lt;&gt;"TransfereGOV", ROUND(OFFSET($P97,0,AC$13),15-13*ORÇAMENTO!$AF$7)/$H97*OFFSET(ORÇAMENTO!$X$15,ROW(AC97)-ROW(AC$15),0), ROUND(ROUND(OFFSET($P97,0,AC$13),15-13*ORÇAMENTO!$AF$7)*OFFSET(ORÇAMENTO!$W$15,ROW(AC97)-ROW(AC$15),0),15-13*ORÇAMENTO!$AF$11)),0)</f>
        <v>0</v>
      </c>
      <c r="AD97" s="545">
        <f ca="1">IF(AND($D97="Serviço",AD$12&lt;&gt;0,$H97&gt;0,OR(AUTOEVENTO&lt;&gt;"manual",$M97&lt;&gt;1)), IF(Import.TipoArredondamento&lt;&gt;"TransfereGOV", ROUND(OFFSET($P97,0,AD$13),15-13*ORÇAMENTO!$AF$7)/$H97*OFFSET(ORÇAMENTO!$X$15,ROW(AD97)-ROW(AD$15),0), ROUND(ROUND(OFFSET($P97,0,AD$13),15-13*ORÇAMENTO!$AF$7)*OFFSET(ORÇAMENTO!$W$15,ROW(AD97)-ROW(AD$15),0),15-13*ORÇAMENTO!$AF$11)),0)</f>
        <v>0</v>
      </c>
      <c r="AE97" s="545">
        <f ca="1">IF(AND($D97="Serviço",AE$12&lt;&gt;0,$H97&gt;0,OR(AUTOEVENTO&lt;&gt;"manual",$M97&lt;&gt;1)), IF(Import.TipoArredondamento&lt;&gt;"TransfereGOV", ROUND(OFFSET($P97,0,AE$13),15-13*ORÇAMENTO!$AF$7)/$H97*OFFSET(ORÇAMENTO!$X$15,ROW(AE97)-ROW(AE$15),0), ROUND(ROUND(OFFSET($P97,0,AE$13),15-13*ORÇAMENTO!$AF$7)*OFFSET(ORÇAMENTO!$W$15,ROW(AE97)-ROW(AE$15),0),15-13*ORÇAMENTO!$AF$11)),0)</f>
        <v>0</v>
      </c>
      <c r="AF97" s="545">
        <f ca="1">IF(AND($D97="Serviço",AF$12&lt;&gt;0,$H97&gt;0,OR(AUTOEVENTO&lt;&gt;"manual",$M97&lt;&gt;1)), IF(Import.TipoArredondamento&lt;&gt;"TransfereGOV", ROUND(OFFSET($P97,0,AF$13),15-13*ORÇAMENTO!$AF$7)/$H97*OFFSET(ORÇAMENTO!$X$15,ROW(AF97)-ROW(AF$15),0), ROUND(ROUND(OFFSET($P97,0,AF$13),15-13*ORÇAMENTO!$AF$7)*OFFSET(ORÇAMENTO!$W$15,ROW(AF97)-ROW(AF$15),0),15-13*ORÇAMENTO!$AF$11)),0)</f>
        <v>0</v>
      </c>
      <c r="AG97" s="545">
        <f ca="1">IF(AND($D97="Serviço",AG$12&lt;&gt;0,$H97&gt;0,OR(AUTOEVENTO&lt;&gt;"manual",$M97&lt;&gt;1)), IF(Import.TipoArredondamento&lt;&gt;"TransfereGOV", ROUND(OFFSET($P97,0,AG$13),15-13*ORÇAMENTO!$AF$7)/$H97*OFFSET(ORÇAMENTO!$X$15,ROW(AG97)-ROW(AG$15),0), ROUND(ROUND(OFFSET($P97,0,AG$13),15-13*ORÇAMENTO!$AF$7)*OFFSET(ORÇAMENTO!$W$15,ROW(AG97)-ROW(AG$15),0),15-13*ORÇAMENTO!$AF$11)),0)</f>
        <v>0</v>
      </c>
      <c r="AH97" s="545">
        <f ca="1">IF(AND($D97="Serviço",AH$12&lt;&gt;0,$H97&gt;0,OR(AUTOEVENTO&lt;&gt;"manual",$M97&lt;&gt;1)), IF(Import.TipoArredondamento&lt;&gt;"TransfereGOV", ROUND(OFFSET($P97,0,AH$13),15-13*ORÇAMENTO!$AF$7)/$H97*OFFSET(ORÇAMENTO!$X$15,ROW(AH97)-ROW(AH$15),0), ROUND(ROUND(OFFSET($P97,0,AH$13),15-13*ORÇAMENTO!$AF$7)*OFFSET(ORÇAMENTO!$W$15,ROW(AH97)-ROW(AH$15),0),15-13*ORÇAMENTO!$AF$11)),0)</f>
        <v>0</v>
      </c>
      <c r="AI97" s="545">
        <f ca="1">IF(AND($D97="Serviço",AI$12&lt;&gt;0,$H97&gt;0,OR(AUTOEVENTO&lt;&gt;"manual",$M97&lt;&gt;1)), IF(Import.TipoArredondamento&lt;&gt;"TransfereGOV", ROUND(OFFSET($P97,0,AI$13),15-13*ORÇAMENTO!$AF$7)/$H97*OFFSET(ORÇAMENTO!$X$15,ROW(AI97)-ROW(AI$15),0), ROUND(ROUND(OFFSET($P97,0,AI$13),15-13*ORÇAMENTO!$AF$7)*OFFSET(ORÇAMENTO!$W$15,ROW(AI97)-ROW(AI$15),0),15-13*ORÇAMENTO!$AF$11)),0)</f>
        <v>0</v>
      </c>
      <c r="AJ97" s="545">
        <f ca="1">IF(AND($D97="Serviço",AJ$12&lt;&gt;0,$H97&gt;0,OR(AUTOEVENTO&lt;&gt;"manual",$M97&lt;&gt;1)), IF(Import.TipoArredondamento&lt;&gt;"TransfereGOV", ROUND(OFFSET($P97,0,AJ$13),15-13*ORÇAMENTO!$AF$7)/$H97*OFFSET(ORÇAMENTO!$X$15,ROW(AJ97)-ROW(AJ$15),0), ROUND(ROUND(OFFSET($P97,0,AJ$13),15-13*ORÇAMENTO!$AF$7)*OFFSET(ORÇAMENTO!$W$15,ROW(AJ97)-ROW(AJ$15),0),15-13*ORÇAMENTO!$AF$11)),0)</f>
        <v>0</v>
      </c>
      <c r="AK97" s="546">
        <f ca="1">IF(AND($D97="Serviço",AK$12&lt;&gt;0,$H97&gt;0,OR(AUTOEVENTO&lt;&gt;"manual",$M97&lt;&gt;1)), IF(Import.TipoArredondamento&lt;&gt;"TransfereGOV", ROUND(OFFSET($P97,0,AK$13),15-13*ORÇAMENTO!$AF$7)/$H97*OFFSET(ORÇAMENTO!$X$15,ROW(AK97)-ROW(AK$15),0), ROUND(ROUND(OFFSET($P97,0,AK$13),15-13*ORÇAMENTO!$AF$7)*OFFSET(ORÇAMENTO!$W$15,ROW(AK97)-ROW(AK$15),0),15-13*ORÇAMENTO!$AF$11)),0)</f>
        <v>0</v>
      </c>
      <c r="AM97" s="181">
        <f ca="1">IF($D97&lt;&gt;"Serviço",0,IF(AND(AUTOEVENTO="Manual",$M97=1),0,IF(OFFSET(CRONOPLE!$F$14,$M97,AM$13)="",10^12,OFFSET(CRONOPLE!$F$14,$M97,AM$13))))</f>
        <v>1000000000000</v>
      </c>
      <c r="AN97" s="181">
        <f ca="1">IF($D97&lt;&gt;"Serviço",0,IF(AND(AUTOEVENTO="Manual",$M97=1),0,IF(OFFSET(CRONOPLE!$F$14,$M97,AN$13)="",10^12,OFFSET(CRONOPLE!$F$14,$M97,AN$13))))</f>
        <v>1000000000000</v>
      </c>
      <c r="AO97" s="181">
        <f ca="1">IF($D97&lt;&gt;"Serviço",0,IF(AND(AUTOEVENTO="Manual",$M97=1),0,IF(OFFSET(CRONOPLE!$F$14,$M97,AO$13)="",10^12,OFFSET(CRONOPLE!$F$14,$M97,AO$13))))</f>
        <v>1000000000000</v>
      </c>
      <c r="AP97" s="181">
        <f ca="1">IF($D97&lt;&gt;"Serviço",0,IF(AND(AUTOEVENTO="Manual",$M97=1),0,IF(OFFSET(CRONOPLE!$F$14,$M97,AP$13)="",10^12,OFFSET(CRONOPLE!$F$14,$M97,AP$13))))</f>
        <v>1000000000000</v>
      </c>
      <c r="AQ97" s="181">
        <f ca="1">IF($D97&lt;&gt;"Serviço",0,IF(AND(AUTOEVENTO="Manual",$M97=1),0,IF(OFFSET(CRONOPLE!$F$14,$M97,AQ$13)="",10^12,OFFSET(CRONOPLE!$F$14,$M97,AQ$13))))</f>
        <v>1000000000000</v>
      </c>
      <c r="AR97" s="181">
        <f ca="1">IF($D97&lt;&gt;"Serviço",0,IF(AND(AUTOEVENTO="Manual",$M97=1),0,IF(OFFSET(CRONOPLE!$F$14,$M97,AR$13)="",10^12,OFFSET(CRONOPLE!$F$14,$M97,AR$13))))</f>
        <v>1000000000000</v>
      </c>
      <c r="AS97" s="181">
        <f ca="1">IF($D97&lt;&gt;"Serviço",0,IF(AND(AUTOEVENTO="Manual",$M97=1),0,IF(OFFSET(CRONOPLE!$F$14,$M97,AS$13)="",10^12,OFFSET(CRONOPLE!$F$14,$M97,AS$13))))</f>
        <v>1000000000000</v>
      </c>
      <c r="AT97" s="181">
        <f ca="1">IF($D97&lt;&gt;"Serviço",0,IF(AND(AUTOEVENTO="Manual",$M97=1),0,IF(OFFSET(CRONOPLE!$F$14,$M97,AT$13)="",10^12,OFFSET(CRONOPLE!$F$14,$M97,AT$13))))</f>
        <v>1000000000000</v>
      </c>
      <c r="AU97" s="181">
        <f ca="1">IF($D97&lt;&gt;"Serviço",0,IF(AND(AUTOEVENTO="Manual",$M97=1),0,IF(OFFSET(CRONOPLE!$F$14,$M97,AU$13)="",10^12,OFFSET(CRONOPLE!$F$14,$M97,AU$13))))</f>
        <v>1000000000000</v>
      </c>
      <c r="AV97" s="181">
        <f ca="1">IF($D97&lt;&gt;"Serviço",0,IF(AND(AUTOEVENTO="Manual",$M97=1),0,IF(OFFSET(CRONOPLE!$F$14,$M97,AV$13)="",10^12,OFFSET(CRONOPLE!$F$14,$M97,AV$13))))</f>
        <v>1000000000000</v>
      </c>
      <c r="AX97" s="182">
        <f ca="1">IF($D97&lt;&gt;"Serviço",0,IF(OR(AND(AUTOEVENTO="Manual",$M97=1),$M97&gt;(ROW(PLE.lastrow)-ROW(PLE.firstrow))),0,IF(OFFSET(PLE!$G$14,$M97,AX$13)="",10^12,OFFSET(PLE!$G$14,$M97,AX$13))))</f>
        <v>1000000000000</v>
      </c>
      <c r="AY97" s="182">
        <f ca="1">IF($D97&lt;&gt;"Serviço",0,IF(OR(AND(AUTOEVENTO="Manual",$M97=1),$M97&gt;(ROW(PLE.lastrow)-ROW(PLE.firstrow))),0,IF(OFFSET(PLE!$G$14,$M97,AY$13)="",10^12,OFFSET(PLE!$G$14,$M97,AY$13))))</f>
        <v>1000000000000</v>
      </c>
      <c r="AZ97" s="182">
        <f ca="1">IF($D97&lt;&gt;"Serviço",0,IF(OR(AND(AUTOEVENTO="Manual",$M97=1),$M97&gt;(ROW(PLE.lastrow)-ROW(PLE.firstrow))),0,IF(OFFSET(PLE!$G$14,$M97,AZ$13)="",10^12,OFFSET(PLE!$G$14,$M97,AZ$13))))</f>
        <v>1000000000000</v>
      </c>
      <c r="BA97" s="182">
        <f ca="1">IF($D97&lt;&gt;"Serviço",0,IF(OR(AND(AUTOEVENTO="Manual",$M97=1),$M97&gt;(ROW(PLE.lastrow)-ROW(PLE.firstrow))),0,IF(OFFSET(PLE!$G$14,$M97,BA$13)="",10^12,OFFSET(PLE!$G$14,$M97,BA$13))))</f>
        <v>1000000000000</v>
      </c>
      <c r="BB97" s="182">
        <f ca="1">IF($D97&lt;&gt;"Serviço",0,IF(OR(AND(AUTOEVENTO="Manual",$M97=1),$M97&gt;(ROW(PLE.lastrow)-ROW(PLE.firstrow))),0,IF(OFFSET(PLE!$G$14,$M97,BB$13)="",10^12,OFFSET(PLE!$G$14,$M97,BB$13))))</f>
        <v>1000000000000</v>
      </c>
      <c r="BC97" s="182">
        <f ca="1">IF($D97&lt;&gt;"Serviço",0,IF(OR(AND(AUTOEVENTO="Manual",$M97=1),$M97&gt;(ROW(PLE.lastrow)-ROW(PLE.firstrow))),0,IF(OFFSET(PLE!$G$14,$M97,BC$13)="",10^12,OFFSET(PLE!$G$14,$M97,BC$13))))</f>
        <v>1000000000000</v>
      </c>
      <c r="BD97" s="182">
        <f ca="1">IF($D97&lt;&gt;"Serviço",0,IF(OR(AND(AUTOEVENTO="Manual",$M97=1),$M97&gt;(ROW(PLE.lastrow)-ROW(PLE.firstrow))),0,IF(OFFSET(PLE!$G$14,$M97,BD$13)="",10^12,OFFSET(PLE!$G$14,$M97,BD$13))))</f>
        <v>1000000000000</v>
      </c>
      <c r="BE97" s="182">
        <f ca="1">IF($D97&lt;&gt;"Serviço",0,IF(OR(AND(AUTOEVENTO="Manual",$M97=1),$M97&gt;(ROW(PLE.lastrow)-ROW(PLE.firstrow))),0,IF(OFFSET(PLE!$G$14,$M97,BE$13)="",10^12,OFFSET(PLE!$G$14,$M97,BE$13))))</f>
        <v>1000000000000</v>
      </c>
      <c r="BF97" s="182">
        <f ca="1">IF($D97&lt;&gt;"Serviço",0,IF(OR(AND(AUTOEVENTO="Manual",$M97=1),$M97&gt;(ROW(PLE.lastrow)-ROW(PLE.firstrow))),0,IF(OFFSET(PLE!$G$14,$M97,BF$13)="",10^12,OFFSET(PLE!$G$14,$M97,BF$13))))</f>
        <v>1000000000000</v>
      </c>
      <c r="BG97" s="182">
        <f ca="1">IF($D97&lt;&gt;"Serviço",0,IF(OR(AND(AUTOEVENTO="Manual",$M97=1),$M97&gt;(ROW(PLE.lastrow)-ROW(PLE.firstrow))),0,IF(OFFSET(PLE!$G$14,$M97,BG$13)="",10^12,OFFSET(PLE!$G$14,$M97,BG$13))))</f>
        <v>1000000000000</v>
      </c>
    </row>
    <row r="98" spans="1:59" ht="12.75" x14ac:dyDescent="0.2">
      <c r="A98" s="7" t="str">
        <f t="shared" ref="A98:A118" ca="1" si="10">IF(AUTOEVENTO="Manual",IF(K98&lt;&gt;"",MIN(VALUE(LEFT(K98,FIND(".",K98)-1)),COUNTA(EVENTOS.Lista)),0),IF(OR($B98&gt;AUTOEVENTO,$B98="S",$B98=0),SUBSTITUTE(OFFSET($A98,-1,0),IF($D98="Serviço",".",""),""),ROW(A98)-ROW($A$15)&amp;"."))</f>
        <v>81</v>
      </c>
      <c r="B98" s="7" t="str">
        <f ca="1">OFFSET(ORÇAMENTO!C$15,ROW(B98)-ROW(B$15),0)</f>
        <v>S</v>
      </c>
      <c r="C98" s="7" t="str">
        <f ca="1">OFFSET(ORÇAMENTO!L$15,ROW(C98)-ROW(C$15),0)</f>
        <v>F</v>
      </c>
      <c r="D98" s="118" t="str">
        <f ca="1">OFFSET(ORÇAMENTO!N$15,ROW(D98)-ROW(D$15),0)</f>
        <v>Serviço</v>
      </c>
      <c r="E98" s="119" t="str">
        <f ca="1">OFFSET(ORÇAMENTO!O$15,ROW(E98)-ROW(E$15),0)</f>
        <v>3.3.2.</v>
      </c>
      <c r="F98" s="172" t="str">
        <f ca="1">OFFSET(ORÇAMENTO!R$15,ROW(F98)-ROW(F$15),0)</f>
        <v>Reaterro e compactação com soquete vibratório</v>
      </c>
      <c r="G98" s="173" t="str">
        <f ca="1">IF($D98&lt;&gt;"Serviço","",OFFSET(ORÇAMENTO!S$15,ROW(G98)-ROW(G$15),0))</f>
        <v>m³</v>
      </c>
      <c r="H98" s="124">
        <f ca="1">IF($D98&lt;&gt;"Serviço",0,IF(ACOMPANHAMENTO="BM",ROUND(OFFSET(ORÇAMENTO!AJ$15,ROW(H98)-ROW(H$15),0),15-13*ORÇAMENTO!$AF$7),SUMPRODUCT(($Q$12:$AA$12&lt;&gt;"")*ROUND($Q98:$AA98,15-13*ORÇAMENTO!$AF$7))))</f>
        <v>98.77</v>
      </c>
      <c r="I98" s="561"/>
      <c r="K98" s="174"/>
      <c r="L98" s="175" t="s">
        <v>255</v>
      </c>
      <c r="M98" s="176">
        <f ca="1">IF($D98&lt;&gt;"Serviço","",IF(AUTOEVENTO="manual",$A98,IF(ISERROR(MATCH($A98,$A$15:OFFSET($A98,-1,0),0)),MAX($M$15:OFFSET(M98,-1,0))+1,INDEX($M$15:OFFSET(M98,-1,0),MATCH($A98,$A$15:OFFSET($A98,-1,0),0)))))</f>
        <v>14</v>
      </c>
      <c r="N98" s="177" t="str">
        <f ca="1">IF($D98&lt;&gt;"Serviço","",IF(AUTOEVENTO="Manual",IF($A98=0,"&lt;-- defina o número do agrupador",OFFSET(EVENTOS!$D$14,$A98,0)),OFFSET($F$15,$A98,0)))</f>
        <v>DRENAGEM PLUVIAL</v>
      </c>
      <c r="O98" s="178"/>
      <c r="Q98" s="178"/>
      <c r="R98" s="179"/>
      <c r="S98" s="179"/>
      <c r="T98" s="179"/>
      <c r="U98" s="179"/>
      <c r="V98" s="179"/>
      <c r="W98" s="179"/>
      <c r="X98" s="179"/>
      <c r="Y98" s="179"/>
      <c r="Z98" s="180"/>
      <c r="AB98" s="544">
        <f ca="1">IF(AND($D98="Serviço",AB$12&lt;&gt;0,$H98&gt;0,OR(AUTOEVENTO&lt;&gt;"manual",$M98&lt;&gt;1)), IF(Import.TipoArredondamento&lt;&gt;"TransfereGOV", ROUND(OFFSET($P98,0,AB$13),15-13*ORÇAMENTO!$AF$7)/$H98*OFFSET(ORÇAMENTO!$X$15,ROW(AB98)-ROW(AB$15),0), ROUND(ROUND(OFFSET($P98,0,AB$13),15-13*ORÇAMENTO!$AF$7)*OFFSET(ORÇAMENTO!$W$15,ROW(AB98)-ROW(AB$15),0),15-13*ORÇAMENTO!$AF$11)),0)</f>
        <v>0</v>
      </c>
      <c r="AC98" s="545">
        <f ca="1">IF(AND($D98="Serviço",AC$12&lt;&gt;0,$H98&gt;0,OR(AUTOEVENTO&lt;&gt;"manual",$M98&lt;&gt;1)), IF(Import.TipoArredondamento&lt;&gt;"TransfereGOV", ROUND(OFFSET($P98,0,AC$13),15-13*ORÇAMENTO!$AF$7)/$H98*OFFSET(ORÇAMENTO!$X$15,ROW(AC98)-ROW(AC$15),0), ROUND(ROUND(OFFSET($P98,0,AC$13),15-13*ORÇAMENTO!$AF$7)*OFFSET(ORÇAMENTO!$W$15,ROW(AC98)-ROW(AC$15),0),15-13*ORÇAMENTO!$AF$11)),0)</f>
        <v>0</v>
      </c>
      <c r="AD98" s="545">
        <f ca="1">IF(AND($D98="Serviço",AD$12&lt;&gt;0,$H98&gt;0,OR(AUTOEVENTO&lt;&gt;"manual",$M98&lt;&gt;1)), IF(Import.TipoArredondamento&lt;&gt;"TransfereGOV", ROUND(OFFSET($P98,0,AD$13),15-13*ORÇAMENTO!$AF$7)/$H98*OFFSET(ORÇAMENTO!$X$15,ROW(AD98)-ROW(AD$15),0), ROUND(ROUND(OFFSET($P98,0,AD$13),15-13*ORÇAMENTO!$AF$7)*OFFSET(ORÇAMENTO!$W$15,ROW(AD98)-ROW(AD$15),0),15-13*ORÇAMENTO!$AF$11)),0)</f>
        <v>0</v>
      </c>
      <c r="AE98" s="545">
        <f ca="1">IF(AND($D98="Serviço",AE$12&lt;&gt;0,$H98&gt;0,OR(AUTOEVENTO&lt;&gt;"manual",$M98&lt;&gt;1)), IF(Import.TipoArredondamento&lt;&gt;"TransfereGOV", ROUND(OFFSET($P98,0,AE$13),15-13*ORÇAMENTO!$AF$7)/$H98*OFFSET(ORÇAMENTO!$X$15,ROW(AE98)-ROW(AE$15),0), ROUND(ROUND(OFFSET($P98,0,AE$13),15-13*ORÇAMENTO!$AF$7)*OFFSET(ORÇAMENTO!$W$15,ROW(AE98)-ROW(AE$15),0),15-13*ORÇAMENTO!$AF$11)),0)</f>
        <v>0</v>
      </c>
      <c r="AF98" s="545">
        <f ca="1">IF(AND($D98="Serviço",AF$12&lt;&gt;0,$H98&gt;0,OR(AUTOEVENTO&lt;&gt;"manual",$M98&lt;&gt;1)), IF(Import.TipoArredondamento&lt;&gt;"TransfereGOV", ROUND(OFFSET($P98,0,AF$13),15-13*ORÇAMENTO!$AF$7)/$H98*OFFSET(ORÇAMENTO!$X$15,ROW(AF98)-ROW(AF$15),0), ROUND(ROUND(OFFSET($P98,0,AF$13),15-13*ORÇAMENTO!$AF$7)*OFFSET(ORÇAMENTO!$W$15,ROW(AF98)-ROW(AF$15),0),15-13*ORÇAMENTO!$AF$11)),0)</f>
        <v>0</v>
      </c>
      <c r="AG98" s="545">
        <f ca="1">IF(AND($D98="Serviço",AG$12&lt;&gt;0,$H98&gt;0,OR(AUTOEVENTO&lt;&gt;"manual",$M98&lt;&gt;1)), IF(Import.TipoArredondamento&lt;&gt;"TransfereGOV", ROUND(OFFSET($P98,0,AG$13),15-13*ORÇAMENTO!$AF$7)/$H98*OFFSET(ORÇAMENTO!$X$15,ROW(AG98)-ROW(AG$15),0), ROUND(ROUND(OFFSET($P98,0,AG$13),15-13*ORÇAMENTO!$AF$7)*OFFSET(ORÇAMENTO!$W$15,ROW(AG98)-ROW(AG$15),0),15-13*ORÇAMENTO!$AF$11)),0)</f>
        <v>0</v>
      </c>
      <c r="AH98" s="545">
        <f ca="1">IF(AND($D98="Serviço",AH$12&lt;&gt;0,$H98&gt;0,OR(AUTOEVENTO&lt;&gt;"manual",$M98&lt;&gt;1)), IF(Import.TipoArredondamento&lt;&gt;"TransfereGOV", ROUND(OFFSET($P98,0,AH$13),15-13*ORÇAMENTO!$AF$7)/$H98*OFFSET(ORÇAMENTO!$X$15,ROW(AH98)-ROW(AH$15),0), ROUND(ROUND(OFFSET($P98,0,AH$13),15-13*ORÇAMENTO!$AF$7)*OFFSET(ORÇAMENTO!$W$15,ROW(AH98)-ROW(AH$15),0),15-13*ORÇAMENTO!$AF$11)),0)</f>
        <v>0</v>
      </c>
      <c r="AI98" s="545">
        <f ca="1">IF(AND($D98="Serviço",AI$12&lt;&gt;0,$H98&gt;0,OR(AUTOEVENTO&lt;&gt;"manual",$M98&lt;&gt;1)), IF(Import.TipoArredondamento&lt;&gt;"TransfereGOV", ROUND(OFFSET($P98,0,AI$13),15-13*ORÇAMENTO!$AF$7)/$H98*OFFSET(ORÇAMENTO!$X$15,ROW(AI98)-ROW(AI$15),0), ROUND(ROUND(OFFSET($P98,0,AI$13),15-13*ORÇAMENTO!$AF$7)*OFFSET(ORÇAMENTO!$W$15,ROW(AI98)-ROW(AI$15),0),15-13*ORÇAMENTO!$AF$11)),0)</f>
        <v>0</v>
      </c>
      <c r="AJ98" s="545">
        <f ca="1">IF(AND($D98="Serviço",AJ$12&lt;&gt;0,$H98&gt;0,OR(AUTOEVENTO&lt;&gt;"manual",$M98&lt;&gt;1)), IF(Import.TipoArredondamento&lt;&gt;"TransfereGOV", ROUND(OFFSET($P98,0,AJ$13),15-13*ORÇAMENTO!$AF$7)/$H98*OFFSET(ORÇAMENTO!$X$15,ROW(AJ98)-ROW(AJ$15),0), ROUND(ROUND(OFFSET($P98,0,AJ$13),15-13*ORÇAMENTO!$AF$7)*OFFSET(ORÇAMENTO!$W$15,ROW(AJ98)-ROW(AJ$15),0),15-13*ORÇAMENTO!$AF$11)),0)</f>
        <v>0</v>
      </c>
      <c r="AK98" s="546">
        <f ca="1">IF(AND($D98="Serviço",AK$12&lt;&gt;0,$H98&gt;0,OR(AUTOEVENTO&lt;&gt;"manual",$M98&lt;&gt;1)), IF(Import.TipoArredondamento&lt;&gt;"TransfereGOV", ROUND(OFFSET($P98,0,AK$13),15-13*ORÇAMENTO!$AF$7)/$H98*OFFSET(ORÇAMENTO!$X$15,ROW(AK98)-ROW(AK$15),0), ROUND(ROUND(OFFSET($P98,0,AK$13),15-13*ORÇAMENTO!$AF$7)*OFFSET(ORÇAMENTO!$W$15,ROW(AK98)-ROW(AK$15),0),15-13*ORÇAMENTO!$AF$11)),0)</f>
        <v>0</v>
      </c>
      <c r="AM98" s="181">
        <f ca="1">IF($D98&lt;&gt;"Serviço",0,IF(AND(AUTOEVENTO="Manual",$M98=1),0,IF(OFFSET(CRONOPLE!$F$14,$M98,AM$13)="",10^12,OFFSET(CRONOPLE!$F$14,$M98,AM$13))))</f>
        <v>1000000000000</v>
      </c>
      <c r="AN98" s="181">
        <f ca="1">IF($D98&lt;&gt;"Serviço",0,IF(AND(AUTOEVENTO="Manual",$M98=1),0,IF(OFFSET(CRONOPLE!$F$14,$M98,AN$13)="",10^12,OFFSET(CRONOPLE!$F$14,$M98,AN$13))))</f>
        <v>1000000000000</v>
      </c>
      <c r="AO98" s="181">
        <f ca="1">IF($D98&lt;&gt;"Serviço",0,IF(AND(AUTOEVENTO="Manual",$M98=1),0,IF(OFFSET(CRONOPLE!$F$14,$M98,AO$13)="",10^12,OFFSET(CRONOPLE!$F$14,$M98,AO$13))))</f>
        <v>1000000000000</v>
      </c>
      <c r="AP98" s="181">
        <f ca="1">IF($D98&lt;&gt;"Serviço",0,IF(AND(AUTOEVENTO="Manual",$M98=1),0,IF(OFFSET(CRONOPLE!$F$14,$M98,AP$13)="",10^12,OFFSET(CRONOPLE!$F$14,$M98,AP$13))))</f>
        <v>1000000000000</v>
      </c>
      <c r="AQ98" s="181">
        <f ca="1">IF($D98&lt;&gt;"Serviço",0,IF(AND(AUTOEVENTO="Manual",$M98=1),0,IF(OFFSET(CRONOPLE!$F$14,$M98,AQ$13)="",10^12,OFFSET(CRONOPLE!$F$14,$M98,AQ$13))))</f>
        <v>1000000000000</v>
      </c>
      <c r="AR98" s="181">
        <f ca="1">IF($D98&lt;&gt;"Serviço",0,IF(AND(AUTOEVENTO="Manual",$M98=1),0,IF(OFFSET(CRONOPLE!$F$14,$M98,AR$13)="",10^12,OFFSET(CRONOPLE!$F$14,$M98,AR$13))))</f>
        <v>1000000000000</v>
      </c>
      <c r="AS98" s="181">
        <f ca="1">IF($D98&lt;&gt;"Serviço",0,IF(AND(AUTOEVENTO="Manual",$M98=1),0,IF(OFFSET(CRONOPLE!$F$14,$M98,AS$13)="",10^12,OFFSET(CRONOPLE!$F$14,$M98,AS$13))))</f>
        <v>1000000000000</v>
      </c>
      <c r="AT98" s="181">
        <f ca="1">IF($D98&lt;&gt;"Serviço",0,IF(AND(AUTOEVENTO="Manual",$M98=1),0,IF(OFFSET(CRONOPLE!$F$14,$M98,AT$13)="",10^12,OFFSET(CRONOPLE!$F$14,$M98,AT$13))))</f>
        <v>1000000000000</v>
      </c>
      <c r="AU98" s="181">
        <f ca="1">IF($D98&lt;&gt;"Serviço",0,IF(AND(AUTOEVENTO="Manual",$M98=1),0,IF(OFFSET(CRONOPLE!$F$14,$M98,AU$13)="",10^12,OFFSET(CRONOPLE!$F$14,$M98,AU$13))))</f>
        <v>1000000000000</v>
      </c>
      <c r="AV98" s="181">
        <f ca="1">IF($D98&lt;&gt;"Serviço",0,IF(AND(AUTOEVENTO="Manual",$M98=1),0,IF(OFFSET(CRONOPLE!$F$14,$M98,AV$13)="",10^12,OFFSET(CRONOPLE!$F$14,$M98,AV$13))))</f>
        <v>1000000000000</v>
      </c>
      <c r="AX98" s="182">
        <f ca="1">IF($D98&lt;&gt;"Serviço",0,IF(OR(AND(AUTOEVENTO="Manual",$M98=1),$M98&gt;(ROW(PLE.lastrow)-ROW(PLE.firstrow))),0,IF(OFFSET(PLE!$G$14,$M98,AX$13)="",10^12,OFFSET(PLE!$G$14,$M98,AX$13))))</f>
        <v>1000000000000</v>
      </c>
      <c r="AY98" s="182">
        <f ca="1">IF($D98&lt;&gt;"Serviço",0,IF(OR(AND(AUTOEVENTO="Manual",$M98=1),$M98&gt;(ROW(PLE.lastrow)-ROW(PLE.firstrow))),0,IF(OFFSET(PLE!$G$14,$M98,AY$13)="",10^12,OFFSET(PLE!$G$14,$M98,AY$13))))</f>
        <v>1000000000000</v>
      </c>
      <c r="AZ98" s="182">
        <f ca="1">IF($D98&lt;&gt;"Serviço",0,IF(OR(AND(AUTOEVENTO="Manual",$M98=1),$M98&gt;(ROW(PLE.lastrow)-ROW(PLE.firstrow))),0,IF(OFFSET(PLE!$G$14,$M98,AZ$13)="",10^12,OFFSET(PLE!$G$14,$M98,AZ$13))))</f>
        <v>1000000000000</v>
      </c>
      <c r="BA98" s="182">
        <f ca="1">IF($D98&lt;&gt;"Serviço",0,IF(OR(AND(AUTOEVENTO="Manual",$M98=1),$M98&gt;(ROW(PLE.lastrow)-ROW(PLE.firstrow))),0,IF(OFFSET(PLE!$G$14,$M98,BA$13)="",10^12,OFFSET(PLE!$G$14,$M98,BA$13))))</f>
        <v>1000000000000</v>
      </c>
      <c r="BB98" s="182">
        <f ca="1">IF($D98&lt;&gt;"Serviço",0,IF(OR(AND(AUTOEVENTO="Manual",$M98=1),$M98&gt;(ROW(PLE.lastrow)-ROW(PLE.firstrow))),0,IF(OFFSET(PLE!$G$14,$M98,BB$13)="",10^12,OFFSET(PLE!$G$14,$M98,BB$13))))</f>
        <v>1000000000000</v>
      </c>
      <c r="BC98" s="182">
        <f ca="1">IF($D98&lt;&gt;"Serviço",0,IF(OR(AND(AUTOEVENTO="Manual",$M98=1),$M98&gt;(ROW(PLE.lastrow)-ROW(PLE.firstrow))),0,IF(OFFSET(PLE!$G$14,$M98,BC$13)="",10^12,OFFSET(PLE!$G$14,$M98,BC$13))))</f>
        <v>1000000000000</v>
      </c>
      <c r="BD98" s="182">
        <f ca="1">IF($D98&lt;&gt;"Serviço",0,IF(OR(AND(AUTOEVENTO="Manual",$M98=1),$M98&gt;(ROW(PLE.lastrow)-ROW(PLE.firstrow))),0,IF(OFFSET(PLE!$G$14,$M98,BD$13)="",10^12,OFFSET(PLE!$G$14,$M98,BD$13))))</f>
        <v>1000000000000</v>
      </c>
      <c r="BE98" s="182">
        <f ca="1">IF($D98&lt;&gt;"Serviço",0,IF(OR(AND(AUTOEVENTO="Manual",$M98=1),$M98&gt;(ROW(PLE.lastrow)-ROW(PLE.firstrow))),0,IF(OFFSET(PLE!$G$14,$M98,BE$13)="",10^12,OFFSET(PLE!$G$14,$M98,BE$13))))</f>
        <v>1000000000000</v>
      </c>
      <c r="BF98" s="182">
        <f ca="1">IF($D98&lt;&gt;"Serviço",0,IF(OR(AND(AUTOEVENTO="Manual",$M98=1),$M98&gt;(ROW(PLE.lastrow)-ROW(PLE.firstrow))),0,IF(OFFSET(PLE!$G$14,$M98,BF$13)="",10^12,OFFSET(PLE!$G$14,$M98,BF$13))))</f>
        <v>1000000000000</v>
      </c>
      <c r="BG98" s="182">
        <f ca="1">IF($D98&lt;&gt;"Serviço",0,IF(OR(AND(AUTOEVENTO="Manual",$M98=1),$M98&gt;(ROW(PLE.lastrow)-ROW(PLE.firstrow))),0,IF(OFFSET(PLE!$G$14,$M98,BG$13)="",10^12,OFFSET(PLE!$G$14,$M98,BG$13))))</f>
        <v>1000000000000</v>
      </c>
    </row>
    <row r="99" spans="1:59" ht="12.75" x14ac:dyDescent="0.2">
      <c r="A99" s="7" t="str">
        <f t="shared" ca="1" si="10"/>
        <v>81</v>
      </c>
      <c r="B99" s="7" t="str">
        <f ca="1">OFFSET(ORÇAMENTO!C$15,ROW(B99)-ROW(B$15),0)</f>
        <v>S</v>
      </c>
      <c r="C99" s="7" t="str">
        <f ca="1">OFFSET(ORÇAMENTO!L$15,ROW(C99)-ROW(C$15),0)</f>
        <v>F</v>
      </c>
      <c r="D99" s="118" t="str">
        <f ca="1">OFFSET(ORÇAMENTO!N$15,ROW(D99)-ROW(D$15),0)</f>
        <v>Serviço</v>
      </c>
      <c r="E99" s="119" t="str">
        <f ca="1">OFFSET(ORÇAMENTO!O$15,ROW(E99)-ROW(E$15),0)</f>
        <v>3.3.3.</v>
      </c>
      <c r="F99" s="172" t="str">
        <f ca="1">OFFSET(ORÇAMENTO!R$15,ROW(F99)-ROW(F$15),0)</f>
        <v>Usinagem de brita graduada com brita comercial em usina de 300 t/h</v>
      </c>
      <c r="G99" s="173" t="str">
        <f ca="1">IF($D99&lt;&gt;"Serviço","",OFFSET(ORÇAMENTO!S$15,ROW(G99)-ROW(G$15),0))</f>
        <v>m³</v>
      </c>
      <c r="H99" s="124">
        <f ca="1">IF($D99&lt;&gt;"Serviço",0,IF(ACOMPANHAMENTO="BM",ROUND(OFFSET(ORÇAMENTO!AJ$15,ROW(H99)-ROW(H$15),0),15-13*ORÇAMENTO!$AF$7),SUMPRODUCT(($Q$12:$AA$12&lt;&gt;"")*ROUND($Q99:$AA99,15-13*ORÇAMENTO!$AF$7))))</f>
        <v>98.77</v>
      </c>
      <c r="I99" s="561"/>
      <c r="K99" s="174"/>
      <c r="L99" s="175" t="s">
        <v>255</v>
      </c>
      <c r="M99" s="176">
        <f ca="1">IF($D99&lt;&gt;"Serviço","",IF(AUTOEVENTO="manual",$A99,IF(ISERROR(MATCH($A99,$A$15:OFFSET($A99,-1,0),0)),MAX($M$15:OFFSET(M99,-1,0))+1,INDEX($M$15:OFFSET(M99,-1,0),MATCH($A99,$A$15:OFFSET($A99,-1,0),0)))))</f>
        <v>14</v>
      </c>
      <c r="N99" s="177" t="str">
        <f ca="1">IF($D99&lt;&gt;"Serviço","",IF(AUTOEVENTO="Manual",IF($A99=0,"&lt;-- defina o número do agrupador",OFFSET(EVENTOS!$D$14,$A99,0)),OFFSET($F$15,$A99,0)))</f>
        <v>DRENAGEM PLUVIAL</v>
      </c>
      <c r="O99" s="178"/>
      <c r="Q99" s="178"/>
      <c r="R99" s="179"/>
      <c r="S99" s="179"/>
      <c r="T99" s="179"/>
      <c r="U99" s="179"/>
      <c r="V99" s="179"/>
      <c r="W99" s="179"/>
      <c r="X99" s="179"/>
      <c r="Y99" s="179"/>
      <c r="Z99" s="180"/>
      <c r="AB99" s="544">
        <f ca="1">IF(AND($D99="Serviço",AB$12&lt;&gt;0,$H99&gt;0,OR(AUTOEVENTO&lt;&gt;"manual",$M99&lt;&gt;1)), IF(Import.TipoArredondamento&lt;&gt;"TransfereGOV", ROUND(OFFSET($P99,0,AB$13),15-13*ORÇAMENTO!$AF$7)/$H99*OFFSET(ORÇAMENTO!$X$15,ROW(AB99)-ROW(AB$15),0), ROUND(ROUND(OFFSET($P99,0,AB$13),15-13*ORÇAMENTO!$AF$7)*OFFSET(ORÇAMENTO!$W$15,ROW(AB99)-ROW(AB$15),0),15-13*ORÇAMENTO!$AF$11)),0)</f>
        <v>0</v>
      </c>
      <c r="AC99" s="545">
        <f ca="1">IF(AND($D99="Serviço",AC$12&lt;&gt;0,$H99&gt;0,OR(AUTOEVENTO&lt;&gt;"manual",$M99&lt;&gt;1)), IF(Import.TipoArredondamento&lt;&gt;"TransfereGOV", ROUND(OFFSET($P99,0,AC$13),15-13*ORÇAMENTO!$AF$7)/$H99*OFFSET(ORÇAMENTO!$X$15,ROW(AC99)-ROW(AC$15),0), ROUND(ROUND(OFFSET($P99,0,AC$13),15-13*ORÇAMENTO!$AF$7)*OFFSET(ORÇAMENTO!$W$15,ROW(AC99)-ROW(AC$15),0),15-13*ORÇAMENTO!$AF$11)),0)</f>
        <v>0</v>
      </c>
      <c r="AD99" s="545">
        <f ca="1">IF(AND($D99="Serviço",AD$12&lt;&gt;0,$H99&gt;0,OR(AUTOEVENTO&lt;&gt;"manual",$M99&lt;&gt;1)), IF(Import.TipoArredondamento&lt;&gt;"TransfereGOV", ROUND(OFFSET($P99,0,AD$13),15-13*ORÇAMENTO!$AF$7)/$H99*OFFSET(ORÇAMENTO!$X$15,ROW(AD99)-ROW(AD$15),0), ROUND(ROUND(OFFSET($P99,0,AD$13),15-13*ORÇAMENTO!$AF$7)*OFFSET(ORÇAMENTO!$W$15,ROW(AD99)-ROW(AD$15),0),15-13*ORÇAMENTO!$AF$11)),0)</f>
        <v>0</v>
      </c>
      <c r="AE99" s="545">
        <f ca="1">IF(AND($D99="Serviço",AE$12&lt;&gt;0,$H99&gt;0,OR(AUTOEVENTO&lt;&gt;"manual",$M99&lt;&gt;1)), IF(Import.TipoArredondamento&lt;&gt;"TransfereGOV", ROUND(OFFSET($P99,0,AE$13),15-13*ORÇAMENTO!$AF$7)/$H99*OFFSET(ORÇAMENTO!$X$15,ROW(AE99)-ROW(AE$15),0), ROUND(ROUND(OFFSET($P99,0,AE$13),15-13*ORÇAMENTO!$AF$7)*OFFSET(ORÇAMENTO!$W$15,ROW(AE99)-ROW(AE$15),0),15-13*ORÇAMENTO!$AF$11)),0)</f>
        <v>0</v>
      </c>
      <c r="AF99" s="545">
        <f ca="1">IF(AND($D99="Serviço",AF$12&lt;&gt;0,$H99&gt;0,OR(AUTOEVENTO&lt;&gt;"manual",$M99&lt;&gt;1)), IF(Import.TipoArredondamento&lt;&gt;"TransfereGOV", ROUND(OFFSET($P99,0,AF$13),15-13*ORÇAMENTO!$AF$7)/$H99*OFFSET(ORÇAMENTO!$X$15,ROW(AF99)-ROW(AF$15),0), ROUND(ROUND(OFFSET($P99,0,AF$13),15-13*ORÇAMENTO!$AF$7)*OFFSET(ORÇAMENTO!$W$15,ROW(AF99)-ROW(AF$15),0),15-13*ORÇAMENTO!$AF$11)),0)</f>
        <v>0</v>
      </c>
      <c r="AG99" s="545">
        <f ca="1">IF(AND($D99="Serviço",AG$12&lt;&gt;0,$H99&gt;0,OR(AUTOEVENTO&lt;&gt;"manual",$M99&lt;&gt;1)), IF(Import.TipoArredondamento&lt;&gt;"TransfereGOV", ROUND(OFFSET($P99,0,AG$13),15-13*ORÇAMENTO!$AF$7)/$H99*OFFSET(ORÇAMENTO!$X$15,ROW(AG99)-ROW(AG$15),0), ROUND(ROUND(OFFSET($P99,0,AG$13),15-13*ORÇAMENTO!$AF$7)*OFFSET(ORÇAMENTO!$W$15,ROW(AG99)-ROW(AG$15),0),15-13*ORÇAMENTO!$AF$11)),0)</f>
        <v>0</v>
      </c>
      <c r="AH99" s="545">
        <f ca="1">IF(AND($D99="Serviço",AH$12&lt;&gt;0,$H99&gt;0,OR(AUTOEVENTO&lt;&gt;"manual",$M99&lt;&gt;1)), IF(Import.TipoArredondamento&lt;&gt;"TransfereGOV", ROUND(OFFSET($P99,0,AH$13),15-13*ORÇAMENTO!$AF$7)/$H99*OFFSET(ORÇAMENTO!$X$15,ROW(AH99)-ROW(AH$15),0), ROUND(ROUND(OFFSET($P99,0,AH$13),15-13*ORÇAMENTO!$AF$7)*OFFSET(ORÇAMENTO!$W$15,ROW(AH99)-ROW(AH$15),0),15-13*ORÇAMENTO!$AF$11)),0)</f>
        <v>0</v>
      </c>
      <c r="AI99" s="545">
        <f ca="1">IF(AND($D99="Serviço",AI$12&lt;&gt;0,$H99&gt;0,OR(AUTOEVENTO&lt;&gt;"manual",$M99&lt;&gt;1)), IF(Import.TipoArredondamento&lt;&gt;"TransfereGOV", ROUND(OFFSET($P99,0,AI$13),15-13*ORÇAMENTO!$AF$7)/$H99*OFFSET(ORÇAMENTO!$X$15,ROW(AI99)-ROW(AI$15),0), ROUND(ROUND(OFFSET($P99,0,AI$13),15-13*ORÇAMENTO!$AF$7)*OFFSET(ORÇAMENTO!$W$15,ROW(AI99)-ROW(AI$15),0),15-13*ORÇAMENTO!$AF$11)),0)</f>
        <v>0</v>
      </c>
      <c r="AJ99" s="545">
        <f ca="1">IF(AND($D99="Serviço",AJ$12&lt;&gt;0,$H99&gt;0,OR(AUTOEVENTO&lt;&gt;"manual",$M99&lt;&gt;1)), IF(Import.TipoArredondamento&lt;&gt;"TransfereGOV", ROUND(OFFSET($P99,0,AJ$13),15-13*ORÇAMENTO!$AF$7)/$H99*OFFSET(ORÇAMENTO!$X$15,ROW(AJ99)-ROW(AJ$15),0), ROUND(ROUND(OFFSET($P99,0,AJ$13),15-13*ORÇAMENTO!$AF$7)*OFFSET(ORÇAMENTO!$W$15,ROW(AJ99)-ROW(AJ$15),0),15-13*ORÇAMENTO!$AF$11)),0)</f>
        <v>0</v>
      </c>
      <c r="AK99" s="546">
        <f ca="1">IF(AND($D99="Serviço",AK$12&lt;&gt;0,$H99&gt;0,OR(AUTOEVENTO&lt;&gt;"manual",$M99&lt;&gt;1)), IF(Import.TipoArredondamento&lt;&gt;"TransfereGOV", ROUND(OFFSET($P99,0,AK$13),15-13*ORÇAMENTO!$AF$7)/$H99*OFFSET(ORÇAMENTO!$X$15,ROW(AK99)-ROW(AK$15),0), ROUND(ROUND(OFFSET($P99,0,AK$13),15-13*ORÇAMENTO!$AF$7)*OFFSET(ORÇAMENTO!$W$15,ROW(AK99)-ROW(AK$15),0),15-13*ORÇAMENTO!$AF$11)),0)</f>
        <v>0</v>
      </c>
      <c r="AM99" s="181">
        <f ca="1">IF($D99&lt;&gt;"Serviço",0,IF(AND(AUTOEVENTO="Manual",$M99=1),0,IF(OFFSET(CRONOPLE!$F$14,$M99,AM$13)="",10^12,OFFSET(CRONOPLE!$F$14,$M99,AM$13))))</f>
        <v>1000000000000</v>
      </c>
      <c r="AN99" s="181">
        <f ca="1">IF($D99&lt;&gt;"Serviço",0,IF(AND(AUTOEVENTO="Manual",$M99=1),0,IF(OFFSET(CRONOPLE!$F$14,$M99,AN$13)="",10^12,OFFSET(CRONOPLE!$F$14,$M99,AN$13))))</f>
        <v>1000000000000</v>
      </c>
      <c r="AO99" s="181">
        <f ca="1">IF($D99&lt;&gt;"Serviço",0,IF(AND(AUTOEVENTO="Manual",$M99=1),0,IF(OFFSET(CRONOPLE!$F$14,$M99,AO$13)="",10^12,OFFSET(CRONOPLE!$F$14,$M99,AO$13))))</f>
        <v>1000000000000</v>
      </c>
      <c r="AP99" s="181">
        <f ca="1">IF($D99&lt;&gt;"Serviço",0,IF(AND(AUTOEVENTO="Manual",$M99=1),0,IF(OFFSET(CRONOPLE!$F$14,$M99,AP$13)="",10^12,OFFSET(CRONOPLE!$F$14,$M99,AP$13))))</f>
        <v>1000000000000</v>
      </c>
      <c r="AQ99" s="181">
        <f ca="1">IF($D99&lt;&gt;"Serviço",0,IF(AND(AUTOEVENTO="Manual",$M99=1),0,IF(OFFSET(CRONOPLE!$F$14,$M99,AQ$13)="",10^12,OFFSET(CRONOPLE!$F$14,$M99,AQ$13))))</f>
        <v>1000000000000</v>
      </c>
      <c r="AR99" s="181">
        <f ca="1">IF($D99&lt;&gt;"Serviço",0,IF(AND(AUTOEVENTO="Manual",$M99=1),0,IF(OFFSET(CRONOPLE!$F$14,$M99,AR$13)="",10^12,OFFSET(CRONOPLE!$F$14,$M99,AR$13))))</f>
        <v>1000000000000</v>
      </c>
      <c r="AS99" s="181">
        <f ca="1">IF($D99&lt;&gt;"Serviço",0,IF(AND(AUTOEVENTO="Manual",$M99=1),0,IF(OFFSET(CRONOPLE!$F$14,$M99,AS$13)="",10^12,OFFSET(CRONOPLE!$F$14,$M99,AS$13))))</f>
        <v>1000000000000</v>
      </c>
      <c r="AT99" s="181">
        <f ca="1">IF($D99&lt;&gt;"Serviço",0,IF(AND(AUTOEVENTO="Manual",$M99=1),0,IF(OFFSET(CRONOPLE!$F$14,$M99,AT$13)="",10^12,OFFSET(CRONOPLE!$F$14,$M99,AT$13))))</f>
        <v>1000000000000</v>
      </c>
      <c r="AU99" s="181">
        <f ca="1">IF($D99&lt;&gt;"Serviço",0,IF(AND(AUTOEVENTO="Manual",$M99=1),0,IF(OFFSET(CRONOPLE!$F$14,$M99,AU$13)="",10^12,OFFSET(CRONOPLE!$F$14,$M99,AU$13))))</f>
        <v>1000000000000</v>
      </c>
      <c r="AV99" s="181">
        <f ca="1">IF($D99&lt;&gt;"Serviço",0,IF(AND(AUTOEVENTO="Manual",$M99=1),0,IF(OFFSET(CRONOPLE!$F$14,$M99,AV$13)="",10^12,OFFSET(CRONOPLE!$F$14,$M99,AV$13))))</f>
        <v>1000000000000</v>
      </c>
      <c r="AX99" s="182">
        <f ca="1">IF($D99&lt;&gt;"Serviço",0,IF(OR(AND(AUTOEVENTO="Manual",$M99=1),$M99&gt;(ROW(PLE.lastrow)-ROW(PLE.firstrow))),0,IF(OFFSET(PLE!$G$14,$M99,AX$13)="",10^12,OFFSET(PLE!$G$14,$M99,AX$13))))</f>
        <v>1000000000000</v>
      </c>
      <c r="AY99" s="182">
        <f ca="1">IF($D99&lt;&gt;"Serviço",0,IF(OR(AND(AUTOEVENTO="Manual",$M99=1),$M99&gt;(ROW(PLE.lastrow)-ROW(PLE.firstrow))),0,IF(OFFSET(PLE!$G$14,$M99,AY$13)="",10^12,OFFSET(PLE!$G$14,$M99,AY$13))))</f>
        <v>1000000000000</v>
      </c>
      <c r="AZ99" s="182">
        <f ca="1">IF($D99&lt;&gt;"Serviço",0,IF(OR(AND(AUTOEVENTO="Manual",$M99=1),$M99&gt;(ROW(PLE.lastrow)-ROW(PLE.firstrow))),0,IF(OFFSET(PLE!$G$14,$M99,AZ$13)="",10^12,OFFSET(PLE!$G$14,$M99,AZ$13))))</f>
        <v>1000000000000</v>
      </c>
      <c r="BA99" s="182">
        <f ca="1">IF($D99&lt;&gt;"Serviço",0,IF(OR(AND(AUTOEVENTO="Manual",$M99=1),$M99&gt;(ROW(PLE.lastrow)-ROW(PLE.firstrow))),0,IF(OFFSET(PLE!$G$14,$M99,BA$13)="",10^12,OFFSET(PLE!$G$14,$M99,BA$13))))</f>
        <v>1000000000000</v>
      </c>
      <c r="BB99" s="182">
        <f ca="1">IF($D99&lt;&gt;"Serviço",0,IF(OR(AND(AUTOEVENTO="Manual",$M99=1),$M99&gt;(ROW(PLE.lastrow)-ROW(PLE.firstrow))),0,IF(OFFSET(PLE!$G$14,$M99,BB$13)="",10^12,OFFSET(PLE!$G$14,$M99,BB$13))))</f>
        <v>1000000000000</v>
      </c>
      <c r="BC99" s="182">
        <f ca="1">IF($D99&lt;&gt;"Serviço",0,IF(OR(AND(AUTOEVENTO="Manual",$M99=1),$M99&gt;(ROW(PLE.lastrow)-ROW(PLE.firstrow))),0,IF(OFFSET(PLE!$G$14,$M99,BC$13)="",10^12,OFFSET(PLE!$G$14,$M99,BC$13))))</f>
        <v>1000000000000</v>
      </c>
      <c r="BD99" s="182">
        <f ca="1">IF($D99&lt;&gt;"Serviço",0,IF(OR(AND(AUTOEVENTO="Manual",$M99=1),$M99&gt;(ROW(PLE.lastrow)-ROW(PLE.firstrow))),0,IF(OFFSET(PLE!$G$14,$M99,BD$13)="",10^12,OFFSET(PLE!$G$14,$M99,BD$13))))</f>
        <v>1000000000000</v>
      </c>
      <c r="BE99" s="182">
        <f ca="1">IF($D99&lt;&gt;"Serviço",0,IF(OR(AND(AUTOEVENTO="Manual",$M99=1),$M99&gt;(ROW(PLE.lastrow)-ROW(PLE.firstrow))),0,IF(OFFSET(PLE!$G$14,$M99,BE$13)="",10^12,OFFSET(PLE!$G$14,$M99,BE$13))))</f>
        <v>1000000000000</v>
      </c>
      <c r="BF99" s="182">
        <f ca="1">IF($D99&lt;&gt;"Serviço",0,IF(OR(AND(AUTOEVENTO="Manual",$M99=1),$M99&gt;(ROW(PLE.lastrow)-ROW(PLE.firstrow))),0,IF(OFFSET(PLE!$G$14,$M99,BF$13)="",10^12,OFFSET(PLE!$G$14,$M99,BF$13))))</f>
        <v>1000000000000</v>
      </c>
      <c r="BG99" s="182">
        <f ca="1">IF($D99&lt;&gt;"Serviço",0,IF(OR(AND(AUTOEVENTO="Manual",$M99=1),$M99&gt;(ROW(PLE.lastrow)-ROW(PLE.firstrow))),0,IF(OFFSET(PLE!$G$14,$M99,BG$13)="",10^12,OFFSET(PLE!$G$14,$M99,BG$13))))</f>
        <v>1000000000000</v>
      </c>
    </row>
    <row r="100" spans="1:59" s="577" customFormat="1" ht="12.75" x14ac:dyDescent="0.2">
      <c r="A100" s="7" t="str">
        <f ca="1">IF(AUTOEVENTO="Manual",IF(K100&lt;&gt;"",MIN(VALUE(LEFT(K100,FIND(".",K100)-1)),COUNTA(EVENTOS.Lista)),0),IF(OR($B100&gt;AUTOEVENTO,$B100="S",$B100=0),SUBSTITUTE(OFFSET($A100,-1,0),IF($D100="Serviço",".",""),""),ROW(A100)-ROW($A$15)&amp;"."))</f>
        <v>81</v>
      </c>
      <c r="B100" s="7" t="str">
        <f ca="1">OFFSET(ORÇAMENTO!C$15,ROW(B100)-ROW(B$15),0)</f>
        <v>S</v>
      </c>
      <c r="C100" s="7" t="str">
        <f ca="1">OFFSET(ORÇAMENTO!L$15,ROW(C100)-ROW(C$15),0)</f>
        <v>F</v>
      </c>
      <c r="D100" s="118" t="str">
        <f ca="1">OFFSET(ORÇAMENTO!N$15,ROW(D100)-ROW(D$15),0)</f>
        <v>Serviço</v>
      </c>
      <c r="E100" s="119" t="str">
        <f ca="1">OFFSET(ORÇAMENTO!O$15,ROW(E100)-ROW(E$15),0)</f>
        <v>3.3.4.</v>
      </c>
      <c r="F100" s="172" t="str">
        <f ca="1">OFFSET(ORÇAMENTO!R$15,ROW(F100)-ROW(F$15),0)</f>
        <v>Transporte com caminhão basculante de 10 m³ - rodovia pavimentada</v>
      </c>
      <c r="G100" s="173" t="str">
        <f ca="1">IF($D100&lt;&gt;"Serviço","",OFFSET(ORÇAMENTO!S$15,ROW(G100)-ROW(G$15),0))</f>
        <v>tkm</v>
      </c>
      <c r="H100" s="124">
        <f ca="1">IF($D100&lt;&gt;"Serviço",0,IF(ACOMPANHAMENTO="BM",ROUND(OFFSET(ORÇAMENTO!AJ$15,ROW(H100)-ROW(H$15),0),15-13*ORÇAMENTO!$AF$7),SUMPRODUCT(($Q$12:$AA$12&lt;&gt;"")*ROUND($Q100:$AA100,15-13*ORÇAMENTO!$AF$7))))</f>
        <v>5037.2700000000004</v>
      </c>
      <c r="I100" s="561"/>
      <c r="K100" s="174"/>
      <c r="L100" s="175" t="s">
        <v>255</v>
      </c>
      <c r="M100" s="176">
        <f ca="1">IF($D100&lt;&gt;"Serviço","",IF(AUTOEVENTO="manual",$A100,IF(ISERROR(MATCH($A100,$A$15:OFFSET($A100,-1,0),0)),MAX($M$15:OFFSET(M100,-1,0))+1,INDEX($M$15:OFFSET(M100,-1,0),MATCH($A100,$A$15:OFFSET($A100,-1,0),0)))))</f>
        <v>14</v>
      </c>
      <c r="N100" s="177" t="str">
        <f ca="1">IF($D100&lt;&gt;"Serviço","",IF(AUTOEVENTO="Manual",IF($A100=0,"&lt;-- defina o número do agrupador",OFFSET(EVENTOS!$D$14,$A100,0)),OFFSET($F$15,$A100,0)))</f>
        <v>DRENAGEM PLUVIAL</v>
      </c>
      <c r="O100" s="178"/>
      <c r="Q100" s="178"/>
      <c r="R100" s="179"/>
      <c r="S100" s="179"/>
      <c r="T100" s="179"/>
      <c r="U100" s="179"/>
      <c r="V100" s="179"/>
      <c r="W100" s="179"/>
      <c r="X100" s="179"/>
      <c r="Y100" s="179"/>
      <c r="Z100" s="180"/>
      <c r="AB100" s="544">
        <f ca="1">IF(AND($D100="Serviço",AB$12&lt;&gt;0,$H100&gt;0,OR(AUTOEVENTO&lt;&gt;"manual",$M100&lt;&gt;1)), IF(Import.TipoArredondamento&lt;&gt;"TransfereGOV", ROUND(OFFSET($P100,0,AB$13),15-13*ORÇAMENTO!$AF$7)/$H100*OFFSET(ORÇAMENTO!$X$15,ROW(AB100)-ROW(AB$15),0), ROUND(ROUND(OFFSET($P100,0,AB$13),15-13*ORÇAMENTO!$AF$7)*OFFSET(ORÇAMENTO!$W$15,ROW(AB100)-ROW(AB$15),0),15-13*ORÇAMENTO!$AF$11)),0)</f>
        <v>0</v>
      </c>
      <c r="AC100" s="545">
        <f ca="1">IF(AND($D100="Serviço",AC$12&lt;&gt;0,$H100&gt;0,OR(AUTOEVENTO&lt;&gt;"manual",$M100&lt;&gt;1)), IF(Import.TipoArredondamento&lt;&gt;"TransfereGOV", ROUND(OFFSET($P100,0,AC$13),15-13*ORÇAMENTO!$AF$7)/$H100*OFFSET(ORÇAMENTO!$X$15,ROW(AC100)-ROW(AC$15),0), ROUND(ROUND(OFFSET($P100,0,AC$13),15-13*ORÇAMENTO!$AF$7)*OFFSET(ORÇAMENTO!$W$15,ROW(AC100)-ROW(AC$15),0),15-13*ORÇAMENTO!$AF$11)),0)</f>
        <v>0</v>
      </c>
      <c r="AD100" s="545">
        <f ca="1">IF(AND($D100="Serviço",AD$12&lt;&gt;0,$H100&gt;0,OR(AUTOEVENTO&lt;&gt;"manual",$M100&lt;&gt;1)), IF(Import.TipoArredondamento&lt;&gt;"TransfereGOV", ROUND(OFFSET($P100,0,AD$13),15-13*ORÇAMENTO!$AF$7)/$H100*OFFSET(ORÇAMENTO!$X$15,ROW(AD100)-ROW(AD$15),0), ROUND(ROUND(OFFSET($P100,0,AD$13),15-13*ORÇAMENTO!$AF$7)*OFFSET(ORÇAMENTO!$W$15,ROW(AD100)-ROW(AD$15),0),15-13*ORÇAMENTO!$AF$11)),0)</f>
        <v>0</v>
      </c>
      <c r="AE100" s="545">
        <f ca="1">IF(AND($D100="Serviço",AE$12&lt;&gt;0,$H100&gt;0,OR(AUTOEVENTO&lt;&gt;"manual",$M100&lt;&gt;1)), IF(Import.TipoArredondamento&lt;&gt;"TransfereGOV", ROUND(OFFSET($P100,0,AE$13),15-13*ORÇAMENTO!$AF$7)/$H100*OFFSET(ORÇAMENTO!$X$15,ROW(AE100)-ROW(AE$15),0), ROUND(ROUND(OFFSET($P100,0,AE$13),15-13*ORÇAMENTO!$AF$7)*OFFSET(ORÇAMENTO!$W$15,ROW(AE100)-ROW(AE$15),0),15-13*ORÇAMENTO!$AF$11)),0)</f>
        <v>0</v>
      </c>
      <c r="AF100" s="545">
        <f ca="1">IF(AND($D100="Serviço",AF$12&lt;&gt;0,$H100&gt;0,OR(AUTOEVENTO&lt;&gt;"manual",$M100&lt;&gt;1)), IF(Import.TipoArredondamento&lt;&gt;"TransfereGOV", ROUND(OFFSET($P100,0,AF$13),15-13*ORÇAMENTO!$AF$7)/$H100*OFFSET(ORÇAMENTO!$X$15,ROW(AF100)-ROW(AF$15),0), ROUND(ROUND(OFFSET($P100,0,AF$13),15-13*ORÇAMENTO!$AF$7)*OFFSET(ORÇAMENTO!$W$15,ROW(AF100)-ROW(AF$15),0),15-13*ORÇAMENTO!$AF$11)),0)</f>
        <v>0</v>
      </c>
      <c r="AG100" s="545">
        <f ca="1">IF(AND($D100="Serviço",AG$12&lt;&gt;0,$H100&gt;0,OR(AUTOEVENTO&lt;&gt;"manual",$M100&lt;&gt;1)), IF(Import.TipoArredondamento&lt;&gt;"TransfereGOV", ROUND(OFFSET($P100,0,AG$13),15-13*ORÇAMENTO!$AF$7)/$H100*OFFSET(ORÇAMENTO!$X$15,ROW(AG100)-ROW(AG$15),0), ROUND(ROUND(OFFSET($P100,0,AG$13),15-13*ORÇAMENTO!$AF$7)*OFFSET(ORÇAMENTO!$W$15,ROW(AG100)-ROW(AG$15),0),15-13*ORÇAMENTO!$AF$11)),0)</f>
        <v>0</v>
      </c>
      <c r="AH100" s="545">
        <f ca="1">IF(AND($D100="Serviço",AH$12&lt;&gt;0,$H100&gt;0,OR(AUTOEVENTO&lt;&gt;"manual",$M100&lt;&gt;1)), IF(Import.TipoArredondamento&lt;&gt;"TransfereGOV", ROUND(OFFSET($P100,0,AH$13),15-13*ORÇAMENTO!$AF$7)/$H100*OFFSET(ORÇAMENTO!$X$15,ROW(AH100)-ROW(AH$15),0), ROUND(ROUND(OFFSET($P100,0,AH$13),15-13*ORÇAMENTO!$AF$7)*OFFSET(ORÇAMENTO!$W$15,ROW(AH100)-ROW(AH$15),0),15-13*ORÇAMENTO!$AF$11)),0)</f>
        <v>0</v>
      </c>
      <c r="AI100" s="545">
        <f ca="1">IF(AND($D100="Serviço",AI$12&lt;&gt;0,$H100&gt;0,OR(AUTOEVENTO&lt;&gt;"manual",$M100&lt;&gt;1)), IF(Import.TipoArredondamento&lt;&gt;"TransfereGOV", ROUND(OFFSET($P100,0,AI$13),15-13*ORÇAMENTO!$AF$7)/$H100*OFFSET(ORÇAMENTO!$X$15,ROW(AI100)-ROW(AI$15),0), ROUND(ROUND(OFFSET($P100,0,AI$13),15-13*ORÇAMENTO!$AF$7)*OFFSET(ORÇAMENTO!$W$15,ROW(AI100)-ROW(AI$15),0),15-13*ORÇAMENTO!$AF$11)),0)</f>
        <v>0</v>
      </c>
      <c r="AJ100" s="545">
        <f ca="1">IF(AND($D100="Serviço",AJ$12&lt;&gt;0,$H100&gt;0,OR(AUTOEVENTO&lt;&gt;"manual",$M100&lt;&gt;1)), IF(Import.TipoArredondamento&lt;&gt;"TransfereGOV", ROUND(OFFSET($P100,0,AJ$13),15-13*ORÇAMENTO!$AF$7)/$H100*OFFSET(ORÇAMENTO!$X$15,ROW(AJ100)-ROW(AJ$15),0), ROUND(ROUND(OFFSET($P100,0,AJ$13),15-13*ORÇAMENTO!$AF$7)*OFFSET(ORÇAMENTO!$W$15,ROW(AJ100)-ROW(AJ$15),0),15-13*ORÇAMENTO!$AF$11)),0)</f>
        <v>0</v>
      </c>
      <c r="AK100" s="546">
        <f ca="1">IF(AND($D100="Serviço",AK$12&lt;&gt;0,$H100&gt;0,OR(AUTOEVENTO&lt;&gt;"manual",$M100&lt;&gt;1)), IF(Import.TipoArredondamento&lt;&gt;"TransfereGOV", ROUND(OFFSET($P100,0,AK$13),15-13*ORÇAMENTO!$AF$7)/$H100*OFFSET(ORÇAMENTO!$X$15,ROW(AK100)-ROW(AK$15),0), ROUND(ROUND(OFFSET($P100,0,AK$13),15-13*ORÇAMENTO!$AF$7)*OFFSET(ORÇAMENTO!$W$15,ROW(AK100)-ROW(AK$15),0),15-13*ORÇAMENTO!$AF$11)),0)</f>
        <v>0</v>
      </c>
      <c r="AM100" s="181">
        <f ca="1">IF($D100&lt;&gt;"Serviço",0,IF(AND(AUTOEVENTO="Manual",$M100=1),0,IF(OFFSET(CRONOPLE!$F$14,$M100,AM$13)="",10^12,OFFSET(CRONOPLE!$F$14,$M100,AM$13))))</f>
        <v>1000000000000</v>
      </c>
      <c r="AN100" s="181">
        <f ca="1">IF($D100&lt;&gt;"Serviço",0,IF(AND(AUTOEVENTO="Manual",$M100=1),0,IF(OFFSET(CRONOPLE!$F$14,$M100,AN$13)="",10^12,OFFSET(CRONOPLE!$F$14,$M100,AN$13))))</f>
        <v>1000000000000</v>
      </c>
      <c r="AO100" s="181">
        <f ca="1">IF($D100&lt;&gt;"Serviço",0,IF(AND(AUTOEVENTO="Manual",$M100=1),0,IF(OFFSET(CRONOPLE!$F$14,$M100,AO$13)="",10^12,OFFSET(CRONOPLE!$F$14,$M100,AO$13))))</f>
        <v>1000000000000</v>
      </c>
      <c r="AP100" s="181">
        <f ca="1">IF($D100&lt;&gt;"Serviço",0,IF(AND(AUTOEVENTO="Manual",$M100=1),0,IF(OFFSET(CRONOPLE!$F$14,$M100,AP$13)="",10^12,OFFSET(CRONOPLE!$F$14,$M100,AP$13))))</f>
        <v>1000000000000</v>
      </c>
      <c r="AQ100" s="181">
        <f ca="1">IF($D100&lt;&gt;"Serviço",0,IF(AND(AUTOEVENTO="Manual",$M100=1),0,IF(OFFSET(CRONOPLE!$F$14,$M100,AQ$13)="",10^12,OFFSET(CRONOPLE!$F$14,$M100,AQ$13))))</f>
        <v>1000000000000</v>
      </c>
      <c r="AR100" s="181">
        <f ca="1">IF($D100&lt;&gt;"Serviço",0,IF(AND(AUTOEVENTO="Manual",$M100=1),0,IF(OFFSET(CRONOPLE!$F$14,$M100,AR$13)="",10^12,OFFSET(CRONOPLE!$F$14,$M100,AR$13))))</f>
        <v>1000000000000</v>
      </c>
      <c r="AS100" s="181">
        <f ca="1">IF($D100&lt;&gt;"Serviço",0,IF(AND(AUTOEVENTO="Manual",$M100=1),0,IF(OFFSET(CRONOPLE!$F$14,$M100,AS$13)="",10^12,OFFSET(CRONOPLE!$F$14,$M100,AS$13))))</f>
        <v>1000000000000</v>
      </c>
      <c r="AT100" s="181">
        <f ca="1">IF($D100&lt;&gt;"Serviço",0,IF(AND(AUTOEVENTO="Manual",$M100=1),0,IF(OFFSET(CRONOPLE!$F$14,$M100,AT$13)="",10^12,OFFSET(CRONOPLE!$F$14,$M100,AT$13))))</f>
        <v>1000000000000</v>
      </c>
      <c r="AU100" s="181">
        <f ca="1">IF($D100&lt;&gt;"Serviço",0,IF(AND(AUTOEVENTO="Manual",$M100=1),0,IF(OFFSET(CRONOPLE!$F$14,$M100,AU$13)="",10^12,OFFSET(CRONOPLE!$F$14,$M100,AU$13))))</f>
        <v>1000000000000</v>
      </c>
      <c r="AV100" s="181">
        <f ca="1">IF($D100&lt;&gt;"Serviço",0,IF(AND(AUTOEVENTO="Manual",$M100=1),0,IF(OFFSET(CRONOPLE!$F$14,$M100,AV$13)="",10^12,OFFSET(CRONOPLE!$F$14,$M100,AV$13))))</f>
        <v>1000000000000</v>
      </c>
      <c r="AX100" s="182">
        <f ca="1">IF($D100&lt;&gt;"Serviço",0,IF(OR(AND(AUTOEVENTO="Manual",$M100=1),$M100&gt;(ROW(PLE.lastrow)-ROW(PLE.firstrow))),0,IF(OFFSET(PLE!$G$14,$M100,AX$13)="",10^12,OFFSET(PLE!$G$14,$M100,AX$13))))</f>
        <v>1000000000000</v>
      </c>
      <c r="AY100" s="182">
        <f ca="1">IF($D100&lt;&gt;"Serviço",0,IF(OR(AND(AUTOEVENTO="Manual",$M100=1),$M100&gt;(ROW(PLE.lastrow)-ROW(PLE.firstrow))),0,IF(OFFSET(PLE!$G$14,$M100,AY$13)="",10^12,OFFSET(PLE!$G$14,$M100,AY$13))))</f>
        <v>1000000000000</v>
      </c>
      <c r="AZ100" s="182">
        <f ca="1">IF($D100&lt;&gt;"Serviço",0,IF(OR(AND(AUTOEVENTO="Manual",$M100=1),$M100&gt;(ROW(PLE.lastrow)-ROW(PLE.firstrow))),0,IF(OFFSET(PLE!$G$14,$M100,AZ$13)="",10^12,OFFSET(PLE!$G$14,$M100,AZ$13))))</f>
        <v>1000000000000</v>
      </c>
      <c r="BA100" s="182">
        <f ca="1">IF($D100&lt;&gt;"Serviço",0,IF(OR(AND(AUTOEVENTO="Manual",$M100=1),$M100&gt;(ROW(PLE.lastrow)-ROW(PLE.firstrow))),0,IF(OFFSET(PLE!$G$14,$M100,BA$13)="",10^12,OFFSET(PLE!$G$14,$M100,BA$13))))</f>
        <v>1000000000000</v>
      </c>
      <c r="BB100" s="182">
        <f ca="1">IF($D100&lt;&gt;"Serviço",0,IF(OR(AND(AUTOEVENTO="Manual",$M100=1),$M100&gt;(ROW(PLE.lastrow)-ROW(PLE.firstrow))),0,IF(OFFSET(PLE!$G$14,$M100,BB$13)="",10^12,OFFSET(PLE!$G$14,$M100,BB$13))))</f>
        <v>1000000000000</v>
      </c>
      <c r="BC100" s="182">
        <f ca="1">IF($D100&lt;&gt;"Serviço",0,IF(OR(AND(AUTOEVENTO="Manual",$M100=1),$M100&gt;(ROW(PLE.lastrow)-ROW(PLE.firstrow))),0,IF(OFFSET(PLE!$G$14,$M100,BC$13)="",10^12,OFFSET(PLE!$G$14,$M100,BC$13))))</f>
        <v>1000000000000</v>
      </c>
      <c r="BD100" s="182">
        <f ca="1">IF($D100&lt;&gt;"Serviço",0,IF(OR(AND(AUTOEVENTO="Manual",$M100=1),$M100&gt;(ROW(PLE.lastrow)-ROW(PLE.firstrow))),0,IF(OFFSET(PLE!$G$14,$M100,BD$13)="",10^12,OFFSET(PLE!$G$14,$M100,BD$13))))</f>
        <v>1000000000000</v>
      </c>
      <c r="BE100" s="182">
        <f ca="1">IF($D100&lt;&gt;"Serviço",0,IF(OR(AND(AUTOEVENTO="Manual",$M100=1),$M100&gt;(ROW(PLE.lastrow)-ROW(PLE.firstrow))),0,IF(OFFSET(PLE!$G$14,$M100,BE$13)="",10^12,OFFSET(PLE!$G$14,$M100,BE$13))))</f>
        <v>1000000000000</v>
      </c>
      <c r="BF100" s="182">
        <f ca="1">IF($D100&lt;&gt;"Serviço",0,IF(OR(AND(AUTOEVENTO="Manual",$M100=1),$M100&gt;(ROW(PLE.lastrow)-ROW(PLE.firstrow))),0,IF(OFFSET(PLE!$G$14,$M100,BF$13)="",10^12,OFFSET(PLE!$G$14,$M100,BF$13))))</f>
        <v>1000000000000</v>
      </c>
      <c r="BG100" s="182">
        <f ca="1">IF($D100&lt;&gt;"Serviço",0,IF(OR(AND(AUTOEVENTO="Manual",$M100=1),$M100&gt;(ROW(PLE.lastrow)-ROW(PLE.firstrow))),0,IF(OFFSET(PLE!$G$14,$M100,BG$13)="",10^12,OFFSET(PLE!$G$14,$M100,BG$13))))</f>
        <v>1000000000000</v>
      </c>
    </row>
    <row r="101" spans="1:59" ht="25.5" x14ac:dyDescent="0.2">
      <c r="A101" s="7" t="str">
        <f t="shared" ca="1" si="10"/>
        <v>81</v>
      </c>
      <c r="B101" s="7" t="str">
        <f ca="1">OFFSET(ORÇAMENTO!C$15,ROW(B101)-ROW(B$15),0)</f>
        <v>S</v>
      </c>
      <c r="C101" s="7" t="str">
        <f ca="1">OFFSET(ORÇAMENTO!L$15,ROW(C101)-ROW(C$15),0)</f>
        <v>F</v>
      </c>
      <c r="D101" s="118" t="str">
        <f ca="1">OFFSET(ORÇAMENTO!N$15,ROW(D101)-ROW(D$15),0)</f>
        <v>Serviço</v>
      </c>
      <c r="E101" s="119" t="str">
        <f ca="1">OFFSET(ORÇAMENTO!O$15,ROW(E101)-ROW(E$15),0)</f>
        <v>3.3.5.</v>
      </c>
      <c r="F101" s="172" t="str">
        <f ca="1">OFFSET(ORÇAMENTO!R$15,ROW(F101)-ROW(F$15),0)</f>
        <v>TUBO DE CONCRETO PA2 COMERCIAL PARA DRENAGEM - D=0,40 m (fornecimento e instalação)</v>
      </c>
      <c r="G101" s="173" t="str">
        <f ca="1">IF($D101&lt;&gt;"Serviço","",OFFSET(ORÇAMENTO!S$15,ROW(G101)-ROW(G$15),0))</f>
        <v>M</v>
      </c>
      <c r="H101" s="124">
        <f ca="1">IF($D101&lt;&gt;"Serviço",0,IF(ACOMPANHAMENTO="BM",ROUND(OFFSET(ORÇAMENTO!AJ$15,ROW(H101)-ROW(H$15),0),15-13*ORÇAMENTO!$AF$7),SUMPRODUCT(($Q$12:$AA$12&lt;&gt;"")*ROUND($Q101:$AA101,15-13*ORÇAMENTO!$AF$7))))</f>
        <v>119</v>
      </c>
      <c r="I101" s="561"/>
      <c r="K101" s="174"/>
      <c r="L101" s="175" t="s">
        <v>255</v>
      </c>
      <c r="M101" s="176">
        <f ca="1">IF($D101&lt;&gt;"Serviço","",IF(AUTOEVENTO="manual",$A101,IF(ISERROR(MATCH($A101,$A$15:OFFSET($A101,-1,0),0)),MAX($M$15:OFFSET(M101,-1,0))+1,INDEX($M$15:OFFSET(M101,-1,0),MATCH($A101,$A$15:OFFSET($A101,-1,0),0)))))</f>
        <v>14</v>
      </c>
      <c r="N101" s="177" t="str">
        <f ca="1">IF($D101&lt;&gt;"Serviço","",IF(AUTOEVENTO="Manual",IF($A101=0,"&lt;-- defina o número do agrupador",OFFSET(EVENTOS!$D$14,$A101,0)),OFFSET($F$15,$A101,0)))</f>
        <v>DRENAGEM PLUVIAL</v>
      </c>
      <c r="O101" s="178"/>
      <c r="Q101" s="178"/>
      <c r="R101" s="179"/>
      <c r="S101" s="179"/>
      <c r="T101" s="179"/>
      <c r="U101" s="179"/>
      <c r="V101" s="179"/>
      <c r="W101" s="179"/>
      <c r="X101" s="179"/>
      <c r="Y101" s="179"/>
      <c r="Z101" s="180"/>
      <c r="AB101" s="544">
        <f ca="1">IF(AND($D101="Serviço",AB$12&lt;&gt;0,$H101&gt;0,OR(AUTOEVENTO&lt;&gt;"manual",$M101&lt;&gt;1)), IF(Import.TipoArredondamento&lt;&gt;"TransfereGOV", ROUND(OFFSET($P101,0,AB$13),15-13*ORÇAMENTO!$AF$7)/$H101*OFFSET(ORÇAMENTO!$X$15,ROW(AB101)-ROW(AB$15),0), ROUND(ROUND(OFFSET($P101,0,AB$13),15-13*ORÇAMENTO!$AF$7)*OFFSET(ORÇAMENTO!$W$15,ROW(AB101)-ROW(AB$15),0),15-13*ORÇAMENTO!$AF$11)),0)</f>
        <v>0</v>
      </c>
      <c r="AC101" s="545">
        <f ca="1">IF(AND($D101="Serviço",AC$12&lt;&gt;0,$H101&gt;0,OR(AUTOEVENTO&lt;&gt;"manual",$M101&lt;&gt;1)), IF(Import.TipoArredondamento&lt;&gt;"TransfereGOV", ROUND(OFFSET($P101,0,AC$13),15-13*ORÇAMENTO!$AF$7)/$H101*OFFSET(ORÇAMENTO!$X$15,ROW(AC101)-ROW(AC$15),0), ROUND(ROUND(OFFSET($P101,0,AC$13),15-13*ORÇAMENTO!$AF$7)*OFFSET(ORÇAMENTO!$W$15,ROW(AC101)-ROW(AC$15),0),15-13*ORÇAMENTO!$AF$11)),0)</f>
        <v>0</v>
      </c>
      <c r="AD101" s="545">
        <f ca="1">IF(AND($D101="Serviço",AD$12&lt;&gt;0,$H101&gt;0,OR(AUTOEVENTO&lt;&gt;"manual",$M101&lt;&gt;1)), IF(Import.TipoArredondamento&lt;&gt;"TransfereGOV", ROUND(OFFSET($P101,0,AD$13),15-13*ORÇAMENTO!$AF$7)/$H101*OFFSET(ORÇAMENTO!$X$15,ROW(AD101)-ROW(AD$15),0), ROUND(ROUND(OFFSET($P101,0,AD$13),15-13*ORÇAMENTO!$AF$7)*OFFSET(ORÇAMENTO!$W$15,ROW(AD101)-ROW(AD$15),0),15-13*ORÇAMENTO!$AF$11)),0)</f>
        <v>0</v>
      </c>
      <c r="AE101" s="545">
        <f ca="1">IF(AND($D101="Serviço",AE$12&lt;&gt;0,$H101&gt;0,OR(AUTOEVENTO&lt;&gt;"manual",$M101&lt;&gt;1)), IF(Import.TipoArredondamento&lt;&gt;"TransfereGOV", ROUND(OFFSET($P101,0,AE$13),15-13*ORÇAMENTO!$AF$7)/$H101*OFFSET(ORÇAMENTO!$X$15,ROW(AE101)-ROW(AE$15),0), ROUND(ROUND(OFFSET($P101,0,AE$13),15-13*ORÇAMENTO!$AF$7)*OFFSET(ORÇAMENTO!$W$15,ROW(AE101)-ROW(AE$15),0),15-13*ORÇAMENTO!$AF$11)),0)</f>
        <v>0</v>
      </c>
      <c r="AF101" s="545">
        <f ca="1">IF(AND($D101="Serviço",AF$12&lt;&gt;0,$H101&gt;0,OR(AUTOEVENTO&lt;&gt;"manual",$M101&lt;&gt;1)), IF(Import.TipoArredondamento&lt;&gt;"TransfereGOV", ROUND(OFFSET($P101,0,AF$13),15-13*ORÇAMENTO!$AF$7)/$H101*OFFSET(ORÇAMENTO!$X$15,ROW(AF101)-ROW(AF$15),0), ROUND(ROUND(OFFSET($P101,0,AF$13),15-13*ORÇAMENTO!$AF$7)*OFFSET(ORÇAMENTO!$W$15,ROW(AF101)-ROW(AF$15),0),15-13*ORÇAMENTO!$AF$11)),0)</f>
        <v>0</v>
      </c>
      <c r="AG101" s="545">
        <f ca="1">IF(AND($D101="Serviço",AG$12&lt;&gt;0,$H101&gt;0,OR(AUTOEVENTO&lt;&gt;"manual",$M101&lt;&gt;1)), IF(Import.TipoArredondamento&lt;&gt;"TransfereGOV", ROUND(OFFSET($P101,0,AG$13),15-13*ORÇAMENTO!$AF$7)/$H101*OFFSET(ORÇAMENTO!$X$15,ROW(AG101)-ROW(AG$15),0), ROUND(ROUND(OFFSET($P101,0,AG$13),15-13*ORÇAMENTO!$AF$7)*OFFSET(ORÇAMENTO!$W$15,ROW(AG101)-ROW(AG$15),0),15-13*ORÇAMENTO!$AF$11)),0)</f>
        <v>0</v>
      </c>
      <c r="AH101" s="545">
        <f ca="1">IF(AND($D101="Serviço",AH$12&lt;&gt;0,$H101&gt;0,OR(AUTOEVENTO&lt;&gt;"manual",$M101&lt;&gt;1)), IF(Import.TipoArredondamento&lt;&gt;"TransfereGOV", ROUND(OFFSET($P101,0,AH$13),15-13*ORÇAMENTO!$AF$7)/$H101*OFFSET(ORÇAMENTO!$X$15,ROW(AH101)-ROW(AH$15),0), ROUND(ROUND(OFFSET($P101,0,AH$13),15-13*ORÇAMENTO!$AF$7)*OFFSET(ORÇAMENTO!$W$15,ROW(AH101)-ROW(AH$15),0),15-13*ORÇAMENTO!$AF$11)),0)</f>
        <v>0</v>
      </c>
      <c r="AI101" s="545">
        <f ca="1">IF(AND($D101="Serviço",AI$12&lt;&gt;0,$H101&gt;0,OR(AUTOEVENTO&lt;&gt;"manual",$M101&lt;&gt;1)), IF(Import.TipoArredondamento&lt;&gt;"TransfereGOV", ROUND(OFFSET($P101,0,AI$13),15-13*ORÇAMENTO!$AF$7)/$H101*OFFSET(ORÇAMENTO!$X$15,ROW(AI101)-ROW(AI$15),0), ROUND(ROUND(OFFSET($P101,0,AI$13),15-13*ORÇAMENTO!$AF$7)*OFFSET(ORÇAMENTO!$W$15,ROW(AI101)-ROW(AI$15),0),15-13*ORÇAMENTO!$AF$11)),0)</f>
        <v>0</v>
      </c>
      <c r="AJ101" s="545">
        <f ca="1">IF(AND($D101="Serviço",AJ$12&lt;&gt;0,$H101&gt;0,OR(AUTOEVENTO&lt;&gt;"manual",$M101&lt;&gt;1)), IF(Import.TipoArredondamento&lt;&gt;"TransfereGOV", ROUND(OFFSET($P101,0,AJ$13),15-13*ORÇAMENTO!$AF$7)/$H101*OFFSET(ORÇAMENTO!$X$15,ROW(AJ101)-ROW(AJ$15),0), ROUND(ROUND(OFFSET($P101,0,AJ$13),15-13*ORÇAMENTO!$AF$7)*OFFSET(ORÇAMENTO!$W$15,ROW(AJ101)-ROW(AJ$15),0),15-13*ORÇAMENTO!$AF$11)),0)</f>
        <v>0</v>
      </c>
      <c r="AK101" s="546">
        <f ca="1">IF(AND($D101="Serviço",AK$12&lt;&gt;0,$H101&gt;0,OR(AUTOEVENTO&lt;&gt;"manual",$M101&lt;&gt;1)), IF(Import.TipoArredondamento&lt;&gt;"TransfereGOV", ROUND(OFFSET($P101,0,AK$13),15-13*ORÇAMENTO!$AF$7)/$H101*OFFSET(ORÇAMENTO!$X$15,ROW(AK101)-ROW(AK$15),0), ROUND(ROUND(OFFSET($P101,0,AK$13),15-13*ORÇAMENTO!$AF$7)*OFFSET(ORÇAMENTO!$W$15,ROW(AK101)-ROW(AK$15),0),15-13*ORÇAMENTO!$AF$11)),0)</f>
        <v>0</v>
      </c>
      <c r="AM101" s="181">
        <f ca="1">IF($D101&lt;&gt;"Serviço",0,IF(AND(AUTOEVENTO="Manual",$M101=1),0,IF(OFFSET(CRONOPLE!$F$14,$M101,AM$13)="",10^12,OFFSET(CRONOPLE!$F$14,$M101,AM$13))))</f>
        <v>1000000000000</v>
      </c>
      <c r="AN101" s="181">
        <f ca="1">IF($D101&lt;&gt;"Serviço",0,IF(AND(AUTOEVENTO="Manual",$M101=1),0,IF(OFFSET(CRONOPLE!$F$14,$M101,AN$13)="",10^12,OFFSET(CRONOPLE!$F$14,$M101,AN$13))))</f>
        <v>1000000000000</v>
      </c>
      <c r="AO101" s="181">
        <f ca="1">IF($D101&lt;&gt;"Serviço",0,IF(AND(AUTOEVENTO="Manual",$M101=1),0,IF(OFFSET(CRONOPLE!$F$14,$M101,AO$13)="",10^12,OFFSET(CRONOPLE!$F$14,$M101,AO$13))))</f>
        <v>1000000000000</v>
      </c>
      <c r="AP101" s="181">
        <f ca="1">IF($D101&lt;&gt;"Serviço",0,IF(AND(AUTOEVENTO="Manual",$M101=1),0,IF(OFFSET(CRONOPLE!$F$14,$M101,AP$13)="",10^12,OFFSET(CRONOPLE!$F$14,$M101,AP$13))))</f>
        <v>1000000000000</v>
      </c>
      <c r="AQ101" s="181">
        <f ca="1">IF($D101&lt;&gt;"Serviço",0,IF(AND(AUTOEVENTO="Manual",$M101=1),0,IF(OFFSET(CRONOPLE!$F$14,$M101,AQ$13)="",10^12,OFFSET(CRONOPLE!$F$14,$M101,AQ$13))))</f>
        <v>1000000000000</v>
      </c>
      <c r="AR101" s="181">
        <f ca="1">IF($D101&lt;&gt;"Serviço",0,IF(AND(AUTOEVENTO="Manual",$M101=1),0,IF(OFFSET(CRONOPLE!$F$14,$M101,AR$13)="",10^12,OFFSET(CRONOPLE!$F$14,$M101,AR$13))))</f>
        <v>1000000000000</v>
      </c>
      <c r="AS101" s="181">
        <f ca="1">IF($D101&lt;&gt;"Serviço",0,IF(AND(AUTOEVENTO="Manual",$M101=1),0,IF(OFFSET(CRONOPLE!$F$14,$M101,AS$13)="",10^12,OFFSET(CRONOPLE!$F$14,$M101,AS$13))))</f>
        <v>1000000000000</v>
      </c>
      <c r="AT101" s="181">
        <f ca="1">IF($D101&lt;&gt;"Serviço",0,IF(AND(AUTOEVENTO="Manual",$M101=1),0,IF(OFFSET(CRONOPLE!$F$14,$M101,AT$13)="",10^12,OFFSET(CRONOPLE!$F$14,$M101,AT$13))))</f>
        <v>1000000000000</v>
      </c>
      <c r="AU101" s="181">
        <f ca="1">IF($D101&lt;&gt;"Serviço",0,IF(AND(AUTOEVENTO="Manual",$M101=1),0,IF(OFFSET(CRONOPLE!$F$14,$M101,AU$13)="",10^12,OFFSET(CRONOPLE!$F$14,$M101,AU$13))))</f>
        <v>1000000000000</v>
      </c>
      <c r="AV101" s="181">
        <f ca="1">IF($D101&lt;&gt;"Serviço",0,IF(AND(AUTOEVENTO="Manual",$M101=1),0,IF(OFFSET(CRONOPLE!$F$14,$M101,AV$13)="",10^12,OFFSET(CRONOPLE!$F$14,$M101,AV$13))))</f>
        <v>1000000000000</v>
      </c>
      <c r="AX101" s="182">
        <f ca="1">IF($D101&lt;&gt;"Serviço",0,IF(OR(AND(AUTOEVENTO="Manual",$M101=1),$M101&gt;(ROW(PLE.lastrow)-ROW(PLE.firstrow))),0,IF(OFFSET(PLE!$G$14,$M101,AX$13)="",10^12,OFFSET(PLE!$G$14,$M101,AX$13))))</f>
        <v>1000000000000</v>
      </c>
      <c r="AY101" s="182">
        <f ca="1">IF($D101&lt;&gt;"Serviço",0,IF(OR(AND(AUTOEVENTO="Manual",$M101=1),$M101&gt;(ROW(PLE.lastrow)-ROW(PLE.firstrow))),0,IF(OFFSET(PLE!$G$14,$M101,AY$13)="",10^12,OFFSET(PLE!$G$14,$M101,AY$13))))</f>
        <v>1000000000000</v>
      </c>
      <c r="AZ101" s="182">
        <f ca="1">IF($D101&lt;&gt;"Serviço",0,IF(OR(AND(AUTOEVENTO="Manual",$M101=1),$M101&gt;(ROW(PLE.lastrow)-ROW(PLE.firstrow))),0,IF(OFFSET(PLE!$G$14,$M101,AZ$13)="",10^12,OFFSET(PLE!$G$14,$M101,AZ$13))))</f>
        <v>1000000000000</v>
      </c>
      <c r="BA101" s="182">
        <f ca="1">IF($D101&lt;&gt;"Serviço",0,IF(OR(AND(AUTOEVENTO="Manual",$M101=1),$M101&gt;(ROW(PLE.lastrow)-ROW(PLE.firstrow))),0,IF(OFFSET(PLE!$G$14,$M101,BA$13)="",10^12,OFFSET(PLE!$G$14,$M101,BA$13))))</f>
        <v>1000000000000</v>
      </c>
      <c r="BB101" s="182">
        <f ca="1">IF($D101&lt;&gt;"Serviço",0,IF(OR(AND(AUTOEVENTO="Manual",$M101=1),$M101&gt;(ROW(PLE.lastrow)-ROW(PLE.firstrow))),0,IF(OFFSET(PLE!$G$14,$M101,BB$13)="",10^12,OFFSET(PLE!$G$14,$M101,BB$13))))</f>
        <v>1000000000000</v>
      </c>
      <c r="BC101" s="182">
        <f ca="1">IF($D101&lt;&gt;"Serviço",0,IF(OR(AND(AUTOEVENTO="Manual",$M101=1),$M101&gt;(ROW(PLE.lastrow)-ROW(PLE.firstrow))),0,IF(OFFSET(PLE!$G$14,$M101,BC$13)="",10^12,OFFSET(PLE!$G$14,$M101,BC$13))))</f>
        <v>1000000000000</v>
      </c>
      <c r="BD101" s="182">
        <f ca="1">IF($D101&lt;&gt;"Serviço",0,IF(OR(AND(AUTOEVENTO="Manual",$M101=1),$M101&gt;(ROW(PLE.lastrow)-ROW(PLE.firstrow))),0,IF(OFFSET(PLE!$G$14,$M101,BD$13)="",10^12,OFFSET(PLE!$G$14,$M101,BD$13))))</f>
        <v>1000000000000</v>
      </c>
      <c r="BE101" s="182">
        <f ca="1">IF($D101&lt;&gt;"Serviço",0,IF(OR(AND(AUTOEVENTO="Manual",$M101=1),$M101&gt;(ROW(PLE.lastrow)-ROW(PLE.firstrow))),0,IF(OFFSET(PLE!$G$14,$M101,BE$13)="",10^12,OFFSET(PLE!$G$14,$M101,BE$13))))</f>
        <v>1000000000000</v>
      </c>
      <c r="BF101" s="182">
        <f ca="1">IF($D101&lt;&gt;"Serviço",0,IF(OR(AND(AUTOEVENTO="Manual",$M101=1),$M101&gt;(ROW(PLE.lastrow)-ROW(PLE.firstrow))),0,IF(OFFSET(PLE!$G$14,$M101,BF$13)="",10^12,OFFSET(PLE!$G$14,$M101,BF$13))))</f>
        <v>1000000000000</v>
      </c>
      <c r="BG101" s="182">
        <f ca="1">IF($D101&lt;&gt;"Serviço",0,IF(OR(AND(AUTOEVENTO="Manual",$M101=1),$M101&gt;(ROW(PLE.lastrow)-ROW(PLE.firstrow))),0,IF(OFFSET(PLE!$G$14,$M101,BG$13)="",10^12,OFFSET(PLE!$G$14,$M101,BG$13))))</f>
        <v>1000000000000</v>
      </c>
    </row>
    <row r="102" spans="1:59" ht="12.75" x14ac:dyDescent="0.2">
      <c r="A102" s="7" t="str">
        <f t="shared" ca="1" si="10"/>
        <v>81</v>
      </c>
      <c r="B102" s="7" t="str">
        <f ca="1">OFFSET(ORÇAMENTO!C$15,ROW(B102)-ROW(B$15),0)</f>
        <v>S</v>
      </c>
      <c r="C102" s="7" t="str">
        <f ca="1">OFFSET(ORÇAMENTO!L$15,ROW(C102)-ROW(C$15),0)</f>
        <v>F</v>
      </c>
      <c r="D102" s="118" t="str">
        <f ca="1">OFFSET(ORÇAMENTO!N$15,ROW(D102)-ROW(D$15),0)</f>
        <v>Serviço</v>
      </c>
      <c r="E102" s="119" t="str">
        <f ca="1">OFFSET(ORÇAMENTO!O$15,ROW(E102)-ROW(E$15),0)</f>
        <v>3.3.6.</v>
      </c>
      <c r="F102" s="172" t="str">
        <f ca="1">OFFSET(ORÇAMENTO!R$15,ROW(F102)-ROW(F$15),0)</f>
        <v>BOCA DE LOBO COM GRADE 80X80 (INTERNA) - TIPO BL</v>
      </c>
      <c r="G102" s="173" t="str">
        <f ca="1">IF($D102&lt;&gt;"Serviço","",OFFSET(ORÇAMENTO!S$15,ROW(G102)-ROW(G$15),0))</f>
        <v>UNID.</v>
      </c>
      <c r="H102" s="124">
        <f ca="1">IF($D102&lt;&gt;"Serviço",0,IF(ACOMPANHAMENTO="BM",ROUND(OFFSET(ORÇAMENTO!AJ$15,ROW(H102)-ROW(H$15),0),15-13*ORÇAMENTO!$AF$7),SUMPRODUCT(($Q$12:$AA$12&lt;&gt;"")*ROUND($Q102:$AA102,15-13*ORÇAMENTO!$AF$7))))</f>
        <v>2</v>
      </c>
      <c r="I102" s="561"/>
      <c r="K102" s="174"/>
      <c r="L102" s="175" t="s">
        <v>255</v>
      </c>
      <c r="M102" s="176">
        <f ca="1">IF($D102&lt;&gt;"Serviço","",IF(AUTOEVENTO="manual",$A102,IF(ISERROR(MATCH($A102,$A$15:OFFSET($A102,-1,0),0)),MAX($M$15:OFFSET(M102,-1,0))+1,INDEX($M$15:OFFSET(M102,-1,0),MATCH($A102,$A$15:OFFSET($A102,-1,0),0)))))</f>
        <v>14</v>
      </c>
      <c r="N102" s="177" t="str">
        <f ca="1">IF($D102&lt;&gt;"Serviço","",IF(AUTOEVENTO="Manual",IF($A102=0,"&lt;-- defina o número do agrupador",OFFSET(EVENTOS!$D$14,$A102,0)),OFFSET($F$15,$A102,0)))</f>
        <v>DRENAGEM PLUVIAL</v>
      </c>
      <c r="O102" s="178"/>
      <c r="Q102" s="178"/>
      <c r="R102" s="179"/>
      <c r="S102" s="179"/>
      <c r="T102" s="179"/>
      <c r="U102" s="179"/>
      <c r="V102" s="179"/>
      <c r="W102" s="179"/>
      <c r="X102" s="179"/>
      <c r="Y102" s="179"/>
      <c r="Z102" s="180"/>
      <c r="AB102" s="544">
        <f ca="1">IF(AND($D102="Serviço",AB$12&lt;&gt;0,$H102&gt;0,OR(AUTOEVENTO&lt;&gt;"manual",$M102&lt;&gt;1)), IF(Import.TipoArredondamento&lt;&gt;"TransfereGOV", ROUND(OFFSET($P102,0,AB$13),15-13*ORÇAMENTO!$AF$7)/$H102*OFFSET(ORÇAMENTO!$X$15,ROW(AB102)-ROW(AB$15),0), ROUND(ROUND(OFFSET($P102,0,AB$13),15-13*ORÇAMENTO!$AF$7)*OFFSET(ORÇAMENTO!$W$15,ROW(AB102)-ROW(AB$15),0),15-13*ORÇAMENTO!$AF$11)),0)</f>
        <v>0</v>
      </c>
      <c r="AC102" s="545">
        <f ca="1">IF(AND($D102="Serviço",AC$12&lt;&gt;0,$H102&gt;0,OR(AUTOEVENTO&lt;&gt;"manual",$M102&lt;&gt;1)), IF(Import.TipoArredondamento&lt;&gt;"TransfereGOV", ROUND(OFFSET($P102,0,AC$13),15-13*ORÇAMENTO!$AF$7)/$H102*OFFSET(ORÇAMENTO!$X$15,ROW(AC102)-ROW(AC$15),0), ROUND(ROUND(OFFSET($P102,0,AC$13),15-13*ORÇAMENTO!$AF$7)*OFFSET(ORÇAMENTO!$W$15,ROW(AC102)-ROW(AC$15),0),15-13*ORÇAMENTO!$AF$11)),0)</f>
        <v>0</v>
      </c>
      <c r="AD102" s="545">
        <f ca="1">IF(AND($D102="Serviço",AD$12&lt;&gt;0,$H102&gt;0,OR(AUTOEVENTO&lt;&gt;"manual",$M102&lt;&gt;1)), IF(Import.TipoArredondamento&lt;&gt;"TransfereGOV", ROUND(OFFSET($P102,0,AD$13),15-13*ORÇAMENTO!$AF$7)/$H102*OFFSET(ORÇAMENTO!$X$15,ROW(AD102)-ROW(AD$15),0), ROUND(ROUND(OFFSET($P102,0,AD$13),15-13*ORÇAMENTO!$AF$7)*OFFSET(ORÇAMENTO!$W$15,ROW(AD102)-ROW(AD$15),0),15-13*ORÇAMENTO!$AF$11)),0)</f>
        <v>0</v>
      </c>
      <c r="AE102" s="545">
        <f ca="1">IF(AND($D102="Serviço",AE$12&lt;&gt;0,$H102&gt;0,OR(AUTOEVENTO&lt;&gt;"manual",$M102&lt;&gt;1)), IF(Import.TipoArredondamento&lt;&gt;"TransfereGOV", ROUND(OFFSET($P102,0,AE$13),15-13*ORÇAMENTO!$AF$7)/$H102*OFFSET(ORÇAMENTO!$X$15,ROW(AE102)-ROW(AE$15),0), ROUND(ROUND(OFFSET($P102,0,AE$13),15-13*ORÇAMENTO!$AF$7)*OFFSET(ORÇAMENTO!$W$15,ROW(AE102)-ROW(AE$15),0),15-13*ORÇAMENTO!$AF$11)),0)</f>
        <v>0</v>
      </c>
      <c r="AF102" s="545">
        <f ca="1">IF(AND($D102="Serviço",AF$12&lt;&gt;0,$H102&gt;0,OR(AUTOEVENTO&lt;&gt;"manual",$M102&lt;&gt;1)), IF(Import.TipoArredondamento&lt;&gt;"TransfereGOV", ROUND(OFFSET($P102,0,AF$13),15-13*ORÇAMENTO!$AF$7)/$H102*OFFSET(ORÇAMENTO!$X$15,ROW(AF102)-ROW(AF$15),0), ROUND(ROUND(OFFSET($P102,0,AF$13),15-13*ORÇAMENTO!$AF$7)*OFFSET(ORÇAMENTO!$W$15,ROW(AF102)-ROW(AF$15),0),15-13*ORÇAMENTO!$AF$11)),0)</f>
        <v>0</v>
      </c>
      <c r="AG102" s="545">
        <f ca="1">IF(AND($D102="Serviço",AG$12&lt;&gt;0,$H102&gt;0,OR(AUTOEVENTO&lt;&gt;"manual",$M102&lt;&gt;1)), IF(Import.TipoArredondamento&lt;&gt;"TransfereGOV", ROUND(OFFSET($P102,0,AG$13),15-13*ORÇAMENTO!$AF$7)/$H102*OFFSET(ORÇAMENTO!$X$15,ROW(AG102)-ROW(AG$15),0), ROUND(ROUND(OFFSET($P102,0,AG$13),15-13*ORÇAMENTO!$AF$7)*OFFSET(ORÇAMENTO!$W$15,ROW(AG102)-ROW(AG$15),0),15-13*ORÇAMENTO!$AF$11)),0)</f>
        <v>0</v>
      </c>
      <c r="AH102" s="545">
        <f ca="1">IF(AND($D102="Serviço",AH$12&lt;&gt;0,$H102&gt;0,OR(AUTOEVENTO&lt;&gt;"manual",$M102&lt;&gt;1)), IF(Import.TipoArredondamento&lt;&gt;"TransfereGOV", ROUND(OFFSET($P102,0,AH$13),15-13*ORÇAMENTO!$AF$7)/$H102*OFFSET(ORÇAMENTO!$X$15,ROW(AH102)-ROW(AH$15),0), ROUND(ROUND(OFFSET($P102,0,AH$13),15-13*ORÇAMENTO!$AF$7)*OFFSET(ORÇAMENTO!$W$15,ROW(AH102)-ROW(AH$15),0),15-13*ORÇAMENTO!$AF$11)),0)</f>
        <v>0</v>
      </c>
      <c r="AI102" s="545">
        <f ca="1">IF(AND($D102="Serviço",AI$12&lt;&gt;0,$H102&gt;0,OR(AUTOEVENTO&lt;&gt;"manual",$M102&lt;&gt;1)), IF(Import.TipoArredondamento&lt;&gt;"TransfereGOV", ROUND(OFFSET($P102,0,AI$13),15-13*ORÇAMENTO!$AF$7)/$H102*OFFSET(ORÇAMENTO!$X$15,ROW(AI102)-ROW(AI$15),0), ROUND(ROUND(OFFSET($P102,0,AI$13),15-13*ORÇAMENTO!$AF$7)*OFFSET(ORÇAMENTO!$W$15,ROW(AI102)-ROW(AI$15),0),15-13*ORÇAMENTO!$AF$11)),0)</f>
        <v>0</v>
      </c>
      <c r="AJ102" s="545">
        <f ca="1">IF(AND($D102="Serviço",AJ$12&lt;&gt;0,$H102&gt;0,OR(AUTOEVENTO&lt;&gt;"manual",$M102&lt;&gt;1)), IF(Import.TipoArredondamento&lt;&gt;"TransfereGOV", ROUND(OFFSET($P102,0,AJ$13),15-13*ORÇAMENTO!$AF$7)/$H102*OFFSET(ORÇAMENTO!$X$15,ROW(AJ102)-ROW(AJ$15),0), ROUND(ROUND(OFFSET($P102,0,AJ$13),15-13*ORÇAMENTO!$AF$7)*OFFSET(ORÇAMENTO!$W$15,ROW(AJ102)-ROW(AJ$15),0),15-13*ORÇAMENTO!$AF$11)),0)</f>
        <v>0</v>
      </c>
      <c r="AK102" s="546">
        <f ca="1">IF(AND($D102="Serviço",AK$12&lt;&gt;0,$H102&gt;0,OR(AUTOEVENTO&lt;&gt;"manual",$M102&lt;&gt;1)), IF(Import.TipoArredondamento&lt;&gt;"TransfereGOV", ROUND(OFFSET($P102,0,AK$13),15-13*ORÇAMENTO!$AF$7)/$H102*OFFSET(ORÇAMENTO!$X$15,ROW(AK102)-ROW(AK$15),0), ROUND(ROUND(OFFSET($P102,0,AK$13),15-13*ORÇAMENTO!$AF$7)*OFFSET(ORÇAMENTO!$W$15,ROW(AK102)-ROW(AK$15),0),15-13*ORÇAMENTO!$AF$11)),0)</f>
        <v>0</v>
      </c>
      <c r="AM102" s="181">
        <f ca="1">IF($D102&lt;&gt;"Serviço",0,IF(AND(AUTOEVENTO="Manual",$M102=1),0,IF(OFFSET(CRONOPLE!$F$14,$M102,AM$13)="",10^12,OFFSET(CRONOPLE!$F$14,$M102,AM$13))))</f>
        <v>1000000000000</v>
      </c>
      <c r="AN102" s="181">
        <f ca="1">IF($D102&lt;&gt;"Serviço",0,IF(AND(AUTOEVENTO="Manual",$M102=1),0,IF(OFFSET(CRONOPLE!$F$14,$M102,AN$13)="",10^12,OFFSET(CRONOPLE!$F$14,$M102,AN$13))))</f>
        <v>1000000000000</v>
      </c>
      <c r="AO102" s="181">
        <f ca="1">IF($D102&lt;&gt;"Serviço",0,IF(AND(AUTOEVENTO="Manual",$M102=1),0,IF(OFFSET(CRONOPLE!$F$14,$M102,AO$13)="",10^12,OFFSET(CRONOPLE!$F$14,$M102,AO$13))))</f>
        <v>1000000000000</v>
      </c>
      <c r="AP102" s="181">
        <f ca="1">IF($D102&lt;&gt;"Serviço",0,IF(AND(AUTOEVENTO="Manual",$M102=1),0,IF(OFFSET(CRONOPLE!$F$14,$M102,AP$13)="",10^12,OFFSET(CRONOPLE!$F$14,$M102,AP$13))))</f>
        <v>1000000000000</v>
      </c>
      <c r="AQ102" s="181">
        <f ca="1">IF($D102&lt;&gt;"Serviço",0,IF(AND(AUTOEVENTO="Manual",$M102=1),0,IF(OFFSET(CRONOPLE!$F$14,$M102,AQ$13)="",10^12,OFFSET(CRONOPLE!$F$14,$M102,AQ$13))))</f>
        <v>1000000000000</v>
      </c>
      <c r="AR102" s="181">
        <f ca="1">IF($D102&lt;&gt;"Serviço",0,IF(AND(AUTOEVENTO="Manual",$M102=1),0,IF(OFFSET(CRONOPLE!$F$14,$M102,AR$13)="",10^12,OFFSET(CRONOPLE!$F$14,$M102,AR$13))))</f>
        <v>1000000000000</v>
      </c>
      <c r="AS102" s="181">
        <f ca="1">IF($D102&lt;&gt;"Serviço",0,IF(AND(AUTOEVENTO="Manual",$M102=1),0,IF(OFFSET(CRONOPLE!$F$14,$M102,AS$13)="",10^12,OFFSET(CRONOPLE!$F$14,$M102,AS$13))))</f>
        <v>1000000000000</v>
      </c>
      <c r="AT102" s="181">
        <f ca="1">IF($D102&lt;&gt;"Serviço",0,IF(AND(AUTOEVENTO="Manual",$M102=1),0,IF(OFFSET(CRONOPLE!$F$14,$M102,AT$13)="",10^12,OFFSET(CRONOPLE!$F$14,$M102,AT$13))))</f>
        <v>1000000000000</v>
      </c>
      <c r="AU102" s="181">
        <f ca="1">IF($D102&lt;&gt;"Serviço",0,IF(AND(AUTOEVENTO="Manual",$M102=1),0,IF(OFFSET(CRONOPLE!$F$14,$M102,AU$13)="",10^12,OFFSET(CRONOPLE!$F$14,$M102,AU$13))))</f>
        <v>1000000000000</v>
      </c>
      <c r="AV102" s="181">
        <f ca="1">IF($D102&lt;&gt;"Serviço",0,IF(AND(AUTOEVENTO="Manual",$M102=1),0,IF(OFFSET(CRONOPLE!$F$14,$M102,AV$13)="",10^12,OFFSET(CRONOPLE!$F$14,$M102,AV$13))))</f>
        <v>1000000000000</v>
      </c>
      <c r="AX102" s="182">
        <f ca="1">IF($D102&lt;&gt;"Serviço",0,IF(OR(AND(AUTOEVENTO="Manual",$M102=1),$M102&gt;(ROW(PLE.lastrow)-ROW(PLE.firstrow))),0,IF(OFFSET(PLE!$G$14,$M102,AX$13)="",10^12,OFFSET(PLE!$G$14,$M102,AX$13))))</f>
        <v>1000000000000</v>
      </c>
      <c r="AY102" s="182">
        <f ca="1">IF($D102&lt;&gt;"Serviço",0,IF(OR(AND(AUTOEVENTO="Manual",$M102=1),$M102&gt;(ROW(PLE.lastrow)-ROW(PLE.firstrow))),0,IF(OFFSET(PLE!$G$14,$M102,AY$13)="",10^12,OFFSET(PLE!$G$14,$M102,AY$13))))</f>
        <v>1000000000000</v>
      </c>
      <c r="AZ102" s="182">
        <f ca="1">IF($D102&lt;&gt;"Serviço",0,IF(OR(AND(AUTOEVENTO="Manual",$M102=1),$M102&gt;(ROW(PLE.lastrow)-ROW(PLE.firstrow))),0,IF(OFFSET(PLE!$G$14,$M102,AZ$13)="",10^12,OFFSET(PLE!$G$14,$M102,AZ$13))))</f>
        <v>1000000000000</v>
      </c>
      <c r="BA102" s="182">
        <f ca="1">IF($D102&lt;&gt;"Serviço",0,IF(OR(AND(AUTOEVENTO="Manual",$M102=1),$M102&gt;(ROW(PLE.lastrow)-ROW(PLE.firstrow))),0,IF(OFFSET(PLE!$G$14,$M102,BA$13)="",10^12,OFFSET(PLE!$G$14,$M102,BA$13))))</f>
        <v>1000000000000</v>
      </c>
      <c r="BB102" s="182">
        <f ca="1">IF($D102&lt;&gt;"Serviço",0,IF(OR(AND(AUTOEVENTO="Manual",$M102=1),$M102&gt;(ROW(PLE.lastrow)-ROW(PLE.firstrow))),0,IF(OFFSET(PLE!$G$14,$M102,BB$13)="",10^12,OFFSET(PLE!$G$14,$M102,BB$13))))</f>
        <v>1000000000000</v>
      </c>
      <c r="BC102" s="182">
        <f ca="1">IF($D102&lt;&gt;"Serviço",0,IF(OR(AND(AUTOEVENTO="Manual",$M102=1),$M102&gt;(ROW(PLE.lastrow)-ROW(PLE.firstrow))),0,IF(OFFSET(PLE!$G$14,$M102,BC$13)="",10^12,OFFSET(PLE!$G$14,$M102,BC$13))))</f>
        <v>1000000000000</v>
      </c>
      <c r="BD102" s="182">
        <f ca="1">IF($D102&lt;&gt;"Serviço",0,IF(OR(AND(AUTOEVENTO="Manual",$M102=1),$M102&gt;(ROW(PLE.lastrow)-ROW(PLE.firstrow))),0,IF(OFFSET(PLE!$G$14,$M102,BD$13)="",10^12,OFFSET(PLE!$G$14,$M102,BD$13))))</f>
        <v>1000000000000</v>
      </c>
      <c r="BE102" s="182">
        <f ca="1">IF($D102&lt;&gt;"Serviço",0,IF(OR(AND(AUTOEVENTO="Manual",$M102=1),$M102&gt;(ROW(PLE.lastrow)-ROW(PLE.firstrow))),0,IF(OFFSET(PLE!$G$14,$M102,BE$13)="",10^12,OFFSET(PLE!$G$14,$M102,BE$13))))</f>
        <v>1000000000000</v>
      </c>
      <c r="BF102" s="182">
        <f ca="1">IF($D102&lt;&gt;"Serviço",0,IF(OR(AND(AUTOEVENTO="Manual",$M102=1),$M102&gt;(ROW(PLE.lastrow)-ROW(PLE.firstrow))),0,IF(OFFSET(PLE!$G$14,$M102,BF$13)="",10^12,OFFSET(PLE!$G$14,$M102,BF$13))))</f>
        <v>1000000000000</v>
      </c>
      <c r="BG102" s="182">
        <f ca="1">IF($D102&lt;&gt;"Serviço",0,IF(OR(AND(AUTOEVENTO="Manual",$M102=1),$M102&gt;(ROW(PLE.lastrow)-ROW(PLE.firstrow))),0,IF(OFFSET(PLE!$G$14,$M102,BG$13)="",10^12,OFFSET(PLE!$G$14,$M102,BG$13))))</f>
        <v>1000000000000</v>
      </c>
    </row>
    <row r="103" spans="1:59" ht="25.5" x14ac:dyDescent="0.2">
      <c r="A103" s="7" t="str">
        <f t="shared" ca="1" si="10"/>
        <v>81</v>
      </c>
      <c r="B103" s="7" t="str">
        <f ca="1">OFFSET(ORÇAMENTO!C$15,ROW(B103)-ROW(B$15),0)</f>
        <v>S</v>
      </c>
      <c r="C103" s="7" t="str">
        <f ca="1">OFFSET(ORÇAMENTO!L$15,ROW(C103)-ROW(C$15),0)</f>
        <v>F</v>
      </c>
      <c r="D103" s="118" t="str">
        <f ca="1">OFFSET(ORÇAMENTO!N$15,ROW(D103)-ROW(D$15),0)</f>
        <v>Serviço</v>
      </c>
      <c r="E103" s="119" t="str">
        <f ca="1">OFFSET(ORÇAMENTO!O$15,ROW(E103)-ROW(E$15),0)</f>
        <v>3.3.7.</v>
      </c>
      <c r="F103" s="172" t="str">
        <f ca="1">OFFSET(ORÇAMENTO!R$15,ROW(F103)-ROW(F$15),0)</f>
        <v>SARJETA DE CONCRETO MOLDADA IN LOCO, CONCRETO USINADO 30X5 CM</v>
      </c>
      <c r="G103" s="173" t="str">
        <f ca="1">IF($D103&lt;&gt;"Serviço","",OFFSET(ORÇAMENTO!S$15,ROW(G103)-ROW(G$15),0))</f>
        <v>M</v>
      </c>
      <c r="H103" s="124">
        <f ca="1">IF($D103&lt;&gt;"Serviço",0,IF(ACOMPANHAMENTO="BM",ROUND(OFFSET(ORÇAMENTO!AJ$15,ROW(H103)-ROW(H$15),0),15-13*ORÇAMENTO!$AF$7),SUMPRODUCT(($Q$12:$AA$12&lt;&gt;"")*ROUND($Q103:$AA103,15-13*ORÇAMENTO!$AF$7))))</f>
        <v>504.31</v>
      </c>
      <c r="I103" s="561"/>
      <c r="K103" s="174"/>
      <c r="L103" s="175" t="s">
        <v>255</v>
      </c>
      <c r="M103" s="176">
        <f ca="1">IF($D103&lt;&gt;"Serviço","",IF(AUTOEVENTO="manual",$A103,IF(ISERROR(MATCH($A103,$A$15:OFFSET($A103,-1,0),0)),MAX($M$15:OFFSET(M103,-1,0))+1,INDEX($M$15:OFFSET(M103,-1,0),MATCH($A103,$A$15:OFFSET($A103,-1,0),0)))))</f>
        <v>14</v>
      </c>
      <c r="N103" s="177" t="str">
        <f ca="1">IF($D103&lt;&gt;"Serviço","",IF(AUTOEVENTO="Manual",IF($A103=0,"&lt;-- defina o número do agrupador",OFFSET(EVENTOS!$D$14,$A103,0)),OFFSET($F$15,$A103,0)))</f>
        <v>DRENAGEM PLUVIAL</v>
      </c>
      <c r="O103" s="178"/>
      <c r="Q103" s="178"/>
      <c r="R103" s="179"/>
      <c r="S103" s="179"/>
      <c r="T103" s="179"/>
      <c r="U103" s="179"/>
      <c r="V103" s="179"/>
      <c r="W103" s="179"/>
      <c r="X103" s="179"/>
      <c r="Y103" s="179"/>
      <c r="Z103" s="180"/>
      <c r="AB103" s="544">
        <f ca="1">IF(AND($D103="Serviço",AB$12&lt;&gt;0,$H103&gt;0,OR(AUTOEVENTO&lt;&gt;"manual",$M103&lt;&gt;1)), IF(Import.TipoArredondamento&lt;&gt;"TransfereGOV", ROUND(OFFSET($P103,0,AB$13),15-13*ORÇAMENTO!$AF$7)/$H103*OFFSET(ORÇAMENTO!$X$15,ROW(AB103)-ROW(AB$15),0), ROUND(ROUND(OFFSET($P103,0,AB$13),15-13*ORÇAMENTO!$AF$7)*OFFSET(ORÇAMENTO!$W$15,ROW(AB103)-ROW(AB$15),0),15-13*ORÇAMENTO!$AF$11)),0)</f>
        <v>0</v>
      </c>
      <c r="AC103" s="545">
        <f ca="1">IF(AND($D103="Serviço",AC$12&lt;&gt;0,$H103&gt;0,OR(AUTOEVENTO&lt;&gt;"manual",$M103&lt;&gt;1)), IF(Import.TipoArredondamento&lt;&gt;"TransfereGOV", ROUND(OFFSET($P103,0,AC$13),15-13*ORÇAMENTO!$AF$7)/$H103*OFFSET(ORÇAMENTO!$X$15,ROW(AC103)-ROW(AC$15),0), ROUND(ROUND(OFFSET($P103,0,AC$13),15-13*ORÇAMENTO!$AF$7)*OFFSET(ORÇAMENTO!$W$15,ROW(AC103)-ROW(AC$15),0),15-13*ORÇAMENTO!$AF$11)),0)</f>
        <v>0</v>
      </c>
      <c r="AD103" s="545">
        <f ca="1">IF(AND($D103="Serviço",AD$12&lt;&gt;0,$H103&gt;0,OR(AUTOEVENTO&lt;&gt;"manual",$M103&lt;&gt;1)), IF(Import.TipoArredondamento&lt;&gt;"TransfereGOV", ROUND(OFFSET($P103,0,AD$13),15-13*ORÇAMENTO!$AF$7)/$H103*OFFSET(ORÇAMENTO!$X$15,ROW(AD103)-ROW(AD$15),0), ROUND(ROUND(OFFSET($P103,0,AD$13),15-13*ORÇAMENTO!$AF$7)*OFFSET(ORÇAMENTO!$W$15,ROW(AD103)-ROW(AD$15),0),15-13*ORÇAMENTO!$AF$11)),0)</f>
        <v>0</v>
      </c>
      <c r="AE103" s="545">
        <f ca="1">IF(AND($D103="Serviço",AE$12&lt;&gt;0,$H103&gt;0,OR(AUTOEVENTO&lt;&gt;"manual",$M103&lt;&gt;1)), IF(Import.TipoArredondamento&lt;&gt;"TransfereGOV", ROUND(OFFSET($P103,0,AE$13),15-13*ORÇAMENTO!$AF$7)/$H103*OFFSET(ORÇAMENTO!$X$15,ROW(AE103)-ROW(AE$15),0), ROUND(ROUND(OFFSET($P103,0,AE$13),15-13*ORÇAMENTO!$AF$7)*OFFSET(ORÇAMENTO!$W$15,ROW(AE103)-ROW(AE$15),0),15-13*ORÇAMENTO!$AF$11)),0)</f>
        <v>0</v>
      </c>
      <c r="AF103" s="545">
        <f ca="1">IF(AND($D103="Serviço",AF$12&lt;&gt;0,$H103&gt;0,OR(AUTOEVENTO&lt;&gt;"manual",$M103&lt;&gt;1)), IF(Import.TipoArredondamento&lt;&gt;"TransfereGOV", ROUND(OFFSET($P103,0,AF$13),15-13*ORÇAMENTO!$AF$7)/$H103*OFFSET(ORÇAMENTO!$X$15,ROW(AF103)-ROW(AF$15),0), ROUND(ROUND(OFFSET($P103,0,AF$13),15-13*ORÇAMENTO!$AF$7)*OFFSET(ORÇAMENTO!$W$15,ROW(AF103)-ROW(AF$15),0),15-13*ORÇAMENTO!$AF$11)),0)</f>
        <v>0</v>
      </c>
      <c r="AG103" s="545">
        <f ca="1">IF(AND($D103="Serviço",AG$12&lt;&gt;0,$H103&gt;0,OR(AUTOEVENTO&lt;&gt;"manual",$M103&lt;&gt;1)), IF(Import.TipoArredondamento&lt;&gt;"TransfereGOV", ROUND(OFFSET($P103,0,AG$13),15-13*ORÇAMENTO!$AF$7)/$H103*OFFSET(ORÇAMENTO!$X$15,ROW(AG103)-ROW(AG$15),0), ROUND(ROUND(OFFSET($P103,0,AG$13),15-13*ORÇAMENTO!$AF$7)*OFFSET(ORÇAMENTO!$W$15,ROW(AG103)-ROW(AG$15),0),15-13*ORÇAMENTO!$AF$11)),0)</f>
        <v>0</v>
      </c>
      <c r="AH103" s="545">
        <f ca="1">IF(AND($D103="Serviço",AH$12&lt;&gt;0,$H103&gt;0,OR(AUTOEVENTO&lt;&gt;"manual",$M103&lt;&gt;1)), IF(Import.TipoArredondamento&lt;&gt;"TransfereGOV", ROUND(OFFSET($P103,0,AH$13),15-13*ORÇAMENTO!$AF$7)/$H103*OFFSET(ORÇAMENTO!$X$15,ROW(AH103)-ROW(AH$15),0), ROUND(ROUND(OFFSET($P103,0,AH$13),15-13*ORÇAMENTO!$AF$7)*OFFSET(ORÇAMENTO!$W$15,ROW(AH103)-ROW(AH$15),0),15-13*ORÇAMENTO!$AF$11)),0)</f>
        <v>0</v>
      </c>
      <c r="AI103" s="545">
        <f ca="1">IF(AND($D103="Serviço",AI$12&lt;&gt;0,$H103&gt;0,OR(AUTOEVENTO&lt;&gt;"manual",$M103&lt;&gt;1)), IF(Import.TipoArredondamento&lt;&gt;"TransfereGOV", ROUND(OFFSET($P103,0,AI$13),15-13*ORÇAMENTO!$AF$7)/$H103*OFFSET(ORÇAMENTO!$X$15,ROW(AI103)-ROW(AI$15),0), ROUND(ROUND(OFFSET($P103,0,AI$13),15-13*ORÇAMENTO!$AF$7)*OFFSET(ORÇAMENTO!$W$15,ROW(AI103)-ROW(AI$15),0),15-13*ORÇAMENTO!$AF$11)),0)</f>
        <v>0</v>
      </c>
      <c r="AJ103" s="545">
        <f ca="1">IF(AND($D103="Serviço",AJ$12&lt;&gt;0,$H103&gt;0,OR(AUTOEVENTO&lt;&gt;"manual",$M103&lt;&gt;1)), IF(Import.TipoArredondamento&lt;&gt;"TransfereGOV", ROUND(OFFSET($P103,0,AJ$13),15-13*ORÇAMENTO!$AF$7)/$H103*OFFSET(ORÇAMENTO!$X$15,ROW(AJ103)-ROW(AJ$15),0), ROUND(ROUND(OFFSET($P103,0,AJ$13),15-13*ORÇAMENTO!$AF$7)*OFFSET(ORÇAMENTO!$W$15,ROW(AJ103)-ROW(AJ$15),0),15-13*ORÇAMENTO!$AF$11)),0)</f>
        <v>0</v>
      </c>
      <c r="AK103" s="546">
        <f ca="1">IF(AND($D103="Serviço",AK$12&lt;&gt;0,$H103&gt;0,OR(AUTOEVENTO&lt;&gt;"manual",$M103&lt;&gt;1)), IF(Import.TipoArredondamento&lt;&gt;"TransfereGOV", ROUND(OFFSET($P103,0,AK$13),15-13*ORÇAMENTO!$AF$7)/$H103*OFFSET(ORÇAMENTO!$X$15,ROW(AK103)-ROW(AK$15),0), ROUND(ROUND(OFFSET($P103,0,AK$13),15-13*ORÇAMENTO!$AF$7)*OFFSET(ORÇAMENTO!$W$15,ROW(AK103)-ROW(AK$15),0),15-13*ORÇAMENTO!$AF$11)),0)</f>
        <v>0</v>
      </c>
      <c r="AM103" s="181">
        <f ca="1">IF($D103&lt;&gt;"Serviço",0,IF(AND(AUTOEVENTO="Manual",$M103=1),0,IF(OFFSET(CRONOPLE!$F$14,$M103,AM$13)="",10^12,OFFSET(CRONOPLE!$F$14,$M103,AM$13))))</f>
        <v>1000000000000</v>
      </c>
      <c r="AN103" s="181">
        <f ca="1">IF($D103&lt;&gt;"Serviço",0,IF(AND(AUTOEVENTO="Manual",$M103=1),0,IF(OFFSET(CRONOPLE!$F$14,$M103,AN$13)="",10^12,OFFSET(CRONOPLE!$F$14,$M103,AN$13))))</f>
        <v>1000000000000</v>
      </c>
      <c r="AO103" s="181">
        <f ca="1">IF($D103&lt;&gt;"Serviço",0,IF(AND(AUTOEVENTO="Manual",$M103=1),0,IF(OFFSET(CRONOPLE!$F$14,$M103,AO$13)="",10^12,OFFSET(CRONOPLE!$F$14,$M103,AO$13))))</f>
        <v>1000000000000</v>
      </c>
      <c r="AP103" s="181">
        <f ca="1">IF($D103&lt;&gt;"Serviço",0,IF(AND(AUTOEVENTO="Manual",$M103=1),0,IF(OFFSET(CRONOPLE!$F$14,$M103,AP$13)="",10^12,OFFSET(CRONOPLE!$F$14,$M103,AP$13))))</f>
        <v>1000000000000</v>
      </c>
      <c r="AQ103" s="181">
        <f ca="1">IF($D103&lt;&gt;"Serviço",0,IF(AND(AUTOEVENTO="Manual",$M103=1),0,IF(OFFSET(CRONOPLE!$F$14,$M103,AQ$13)="",10^12,OFFSET(CRONOPLE!$F$14,$M103,AQ$13))))</f>
        <v>1000000000000</v>
      </c>
      <c r="AR103" s="181">
        <f ca="1">IF($D103&lt;&gt;"Serviço",0,IF(AND(AUTOEVENTO="Manual",$M103=1),0,IF(OFFSET(CRONOPLE!$F$14,$M103,AR$13)="",10^12,OFFSET(CRONOPLE!$F$14,$M103,AR$13))))</f>
        <v>1000000000000</v>
      </c>
      <c r="AS103" s="181">
        <f ca="1">IF($D103&lt;&gt;"Serviço",0,IF(AND(AUTOEVENTO="Manual",$M103=1),0,IF(OFFSET(CRONOPLE!$F$14,$M103,AS$13)="",10^12,OFFSET(CRONOPLE!$F$14,$M103,AS$13))))</f>
        <v>1000000000000</v>
      </c>
      <c r="AT103" s="181">
        <f ca="1">IF($D103&lt;&gt;"Serviço",0,IF(AND(AUTOEVENTO="Manual",$M103=1),0,IF(OFFSET(CRONOPLE!$F$14,$M103,AT$13)="",10^12,OFFSET(CRONOPLE!$F$14,$M103,AT$13))))</f>
        <v>1000000000000</v>
      </c>
      <c r="AU103" s="181">
        <f ca="1">IF($D103&lt;&gt;"Serviço",0,IF(AND(AUTOEVENTO="Manual",$M103=1),0,IF(OFFSET(CRONOPLE!$F$14,$M103,AU$13)="",10^12,OFFSET(CRONOPLE!$F$14,$M103,AU$13))))</f>
        <v>1000000000000</v>
      </c>
      <c r="AV103" s="181">
        <f ca="1">IF($D103&lt;&gt;"Serviço",0,IF(AND(AUTOEVENTO="Manual",$M103=1),0,IF(OFFSET(CRONOPLE!$F$14,$M103,AV$13)="",10^12,OFFSET(CRONOPLE!$F$14,$M103,AV$13))))</f>
        <v>1000000000000</v>
      </c>
      <c r="AX103" s="182">
        <f ca="1">IF($D103&lt;&gt;"Serviço",0,IF(OR(AND(AUTOEVENTO="Manual",$M103=1),$M103&gt;(ROW(PLE.lastrow)-ROW(PLE.firstrow))),0,IF(OFFSET(PLE!$G$14,$M103,AX$13)="",10^12,OFFSET(PLE!$G$14,$M103,AX$13))))</f>
        <v>1000000000000</v>
      </c>
      <c r="AY103" s="182">
        <f ca="1">IF($D103&lt;&gt;"Serviço",0,IF(OR(AND(AUTOEVENTO="Manual",$M103=1),$M103&gt;(ROW(PLE.lastrow)-ROW(PLE.firstrow))),0,IF(OFFSET(PLE!$G$14,$M103,AY$13)="",10^12,OFFSET(PLE!$G$14,$M103,AY$13))))</f>
        <v>1000000000000</v>
      </c>
      <c r="AZ103" s="182">
        <f ca="1">IF($D103&lt;&gt;"Serviço",0,IF(OR(AND(AUTOEVENTO="Manual",$M103=1),$M103&gt;(ROW(PLE.lastrow)-ROW(PLE.firstrow))),0,IF(OFFSET(PLE!$G$14,$M103,AZ$13)="",10^12,OFFSET(PLE!$G$14,$M103,AZ$13))))</f>
        <v>1000000000000</v>
      </c>
      <c r="BA103" s="182">
        <f ca="1">IF($D103&lt;&gt;"Serviço",0,IF(OR(AND(AUTOEVENTO="Manual",$M103=1),$M103&gt;(ROW(PLE.lastrow)-ROW(PLE.firstrow))),0,IF(OFFSET(PLE!$G$14,$M103,BA$13)="",10^12,OFFSET(PLE!$G$14,$M103,BA$13))))</f>
        <v>1000000000000</v>
      </c>
      <c r="BB103" s="182">
        <f ca="1">IF($D103&lt;&gt;"Serviço",0,IF(OR(AND(AUTOEVENTO="Manual",$M103=1),$M103&gt;(ROW(PLE.lastrow)-ROW(PLE.firstrow))),0,IF(OFFSET(PLE!$G$14,$M103,BB$13)="",10^12,OFFSET(PLE!$G$14,$M103,BB$13))))</f>
        <v>1000000000000</v>
      </c>
      <c r="BC103" s="182">
        <f ca="1">IF($D103&lt;&gt;"Serviço",0,IF(OR(AND(AUTOEVENTO="Manual",$M103=1),$M103&gt;(ROW(PLE.lastrow)-ROW(PLE.firstrow))),0,IF(OFFSET(PLE!$G$14,$M103,BC$13)="",10^12,OFFSET(PLE!$G$14,$M103,BC$13))))</f>
        <v>1000000000000</v>
      </c>
      <c r="BD103" s="182">
        <f ca="1">IF($D103&lt;&gt;"Serviço",0,IF(OR(AND(AUTOEVENTO="Manual",$M103=1),$M103&gt;(ROW(PLE.lastrow)-ROW(PLE.firstrow))),0,IF(OFFSET(PLE!$G$14,$M103,BD$13)="",10^12,OFFSET(PLE!$G$14,$M103,BD$13))))</f>
        <v>1000000000000</v>
      </c>
      <c r="BE103" s="182">
        <f ca="1">IF($D103&lt;&gt;"Serviço",0,IF(OR(AND(AUTOEVENTO="Manual",$M103=1),$M103&gt;(ROW(PLE.lastrow)-ROW(PLE.firstrow))),0,IF(OFFSET(PLE!$G$14,$M103,BE$13)="",10^12,OFFSET(PLE!$G$14,$M103,BE$13))))</f>
        <v>1000000000000</v>
      </c>
      <c r="BF103" s="182">
        <f ca="1">IF($D103&lt;&gt;"Serviço",0,IF(OR(AND(AUTOEVENTO="Manual",$M103=1),$M103&gt;(ROW(PLE.lastrow)-ROW(PLE.firstrow))),0,IF(OFFSET(PLE!$G$14,$M103,BF$13)="",10^12,OFFSET(PLE!$G$14,$M103,BF$13))))</f>
        <v>1000000000000</v>
      </c>
      <c r="BG103" s="182">
        <f ca="1">IF($D103&lt;&gt;"Serviço",0,IF(OR(AND(AUTOEVENTO="Manual",$M103=1),$M103&gt;(ROW(PLE.lastrow)-ROW(PLE.firstrow))),0,IF(OFFSET(PLE!$G$14,$M103,BG$13)="",10^12,OFFSET(PLE!$G$14,$M103,BG$13))))</f>
        <v>1000000000000</v>
      </c>
    </row>
    <row r="104" spans="1:59" ht="12.75" x14ac:dyDescent="0.2">
      <c r="A104" s="7" t="str">
        <f t="shared" ca="1" si="10"/>
        <v>89.</v>
      </c>
      <c r="B104" s="7">
        <f ca="1">OFFSET(ORÇAMENTO!C$15,ROW(B104)-ROW(B$15),0)</f>
        <v>2</v>
      </c>
      <c r="C104" s="7" t="str">
        <f ca="1">OFFSET(ORÇAMENTO!L$15,ROW(C104)-ROW(C$15),0)</f>
        <v>F</v>
      </c>
      <c r="D104" s="118" t="str">
        <f ca="1">OFFSET(ORÇAMENTO!N$15,ROW(D104)-ROW(D$15),0)</f>
        <v>Nível 2</v>
      </c>
      <c r="E104" s="119" t="str">
        <f ca="1">OFFSET(ORÇAMENTO!O$15,ROW(E104)-ROW(E$15),0)</f>
        <v>3.4.</v>
      </c>
      <c r="F104" s="172" t="str">
        <f ca="1">OFFSET(ORÇAMENTO!R$15,ROW(F104)-ROW(F$15),0)</f>
        <v>PAVIMENTAÇÃO</v>
      </c>
      <c r="G104" s="173" t="str">
        <f ca="1">IF($D104&lt;&gt;"Serviço","",OFFSET(ORÇAMENTO!S$15,ROW(G104)-ROW(G$15),0))</f>
        <v/>
      </c>
      <c r="H104" s="124">
        <f ca="1">IF($D104&lt;&gt;"Serviço",0,IF(ACOMPANHAMENTO="BM",ROUND(OFFSET(ORÇAMENTO!AJ$15,ROW(H104)-ROW(H$15),0),15-13*ORÇAMENTO!$AF$7),SUMPRODUCT(($Q$12:$AA$12&lt;&gt;"")*ROUND($Q104:$AA104,15-13*ORÇAMENTO!$AF$7))))</f>
        <v>0</v>
      </c>
      <c r="I104" s="561"/>
      <c r="K104" s="174"/>
      <c r="L104" s="175" t="s">
        <v>255</v>
      </c>
      <c r="M104" s="176" t="str">
        <f ca="1">IF($D104&lt;&gt;"Serviço","",IF(AUTOEVENTO="manual",$A104,IF(ISERROR(MATCH($A104,$A$15:OFFSET($A104,-1,0),0)),MAX($M$15:OFFSET(M104,-1,0))+1,INDEX($M$15:OFFSET(M104,-1,0),MATCH($A104,$A$15:OFFSET($A104,-1,0),0)))))</f>
        <v/>
      </c>
      <c r="N104" s="177" t="str">
        <f ca="1">IF($D104&lt;&gt;"Serviço","",IF(AUTOEVENTO="Manual",IF($A104=0,"&lt;-- defina o número do agrupador",OFFSET(EVENTOS!$D$14,$A104,0)),OFFSET($F$15,$A104,0)))</f>
        <v/>
      </c>
      <c r="O104" s="178"/>
      <c r="Q104" s="178"/>
      <c r="R104" s="179"/>
      <c r="S104" s="179"/>
      <c r="T104" s="179"/>
      <c r="U104" s="179"/>
      <c r="V104" s="179"/>
      <c r="W104" s="179"/>
      <c r="X104" s="179"/>
      <c r="Y104" s="179"/>
      <c r="Z104" s="180"/>
      <c r="AB104" s="544">
        <f ca="1">IF(AND($D104="Serviço",AB$12&lt;&gt;0,$H104&gt;0,OR(AUTOEVENTO&lt;&gt;"manual",$M104&lt;&gt;1)), IF(Import.TipoArredondamento&lt;&gt;"TransfereGOV", ROUND(OFFSET($P104,0,AB$13),15-13*ORÇAMENTO!$AF$7)/$H104*OFFSET(ORÇAMENTO!$X$15,ROW(AB104)-ROW(AB$15),0), ROUND(ROUND(OFFSET($P104,0,AB$13),15-13*ORÇAMENTO!$AF$7)*OFFSET(ORÇAMENTO!$W$15,ROW(AB104)-ROW(AB$15),0),15-13*ORÇAMENTO!$AF$11)),0)</f>
        <v>0</v>
      </c>
      <c r="AC104" s="545">
        <f ca="1">IF(AND($D104="Serviço",AC$12&lt;&gt;0,$H104&gt;0,OR(AUTOEVENTO&lt;&gt;"manual",$M104&lt;&gt;1)), IF(Import.TipoArredondamento&lt;&gt;"TransfereGOV", ROUND(OFFSET($P104,0,AC$13),15-13*ORÇAMENTO!$AF$7)/$H104*OFFSET(ORÇAMENTO!$X$15,ROW(AC104)-ROW(AC$15),0), ROUND(ROUND(OFFSET($P104,0,AC$13),15-13*ORÇAMENTO!$AF$7)*OFFSET(ORÇAMENTO!$W$15,ROW(AC104)-ROW(AC$15),0),15-13*ORÇAMENTO!$AF$11)),0)</f>
        <v>0</v>
      </c>
      <c r="AD104" s="545">
        <f ca="1">IF(AND($D104="Serviço",AD$12&lt;&gt;0,$H104&gt;0,OR(AUTOEVENTO&lt;&gt;"manual",$M104&lt;&gt;1)), IF(Import.TipoArredondamento&lt;&gt;"TransfereGOV", ROUND(OFFSET($P104,0,AD$13),15-13*ORÇAMENTO!$AF$7)/$H104*OFFSET(ORÇAMENTO!$X$15,ROW(AD104)-ROW(AD$15),0), ROUND(ROUND(OFFSET($P104,0,AD$13),15-13*ORÇAMENTO!$AF$7)*OFFSET(ORÇAMENTO!$W$15,ROW(AD104)-ROW(AD$15),0),15-13*ORÇAMENTO!$AF$11)),0)</f>
        <v>0</v>
      </c>
      <c r="AE104" s="545">
        <f ca="1">IF(AND($D104="Serviço",AE$12&lt;&gt;0,$H104&gt;0,OR(AUTOEVENTO&lt;&gt;"manual",$M104&lt;&gt;1)), IF(Import.TipoArredondamento&lt;&gt;"TransfereGOV", ROUND(OFFSET($P104,0,AE$13),15-13*ORÇAMENTO!$AF$7)/$H104*OFFSET(ORÇAMENTO!$X$15,ROW(AE104)-ROW(AE$15),0), ROUND(ROUND(OFFSET($P104,0,AE$13),15-13*ORÇAMENTO!$AF$7)*OFFSET(ORÇAMENTO!$W$15,ROW(AE104)-ROW(AE$15),0),15-13*ORÇAMENTO!$AF$11)),0)</f>
        <v>0</v>
      </c>
      <c r="AF104" s="545">
        <f ca="1">IF(AND($D104="Serviço",AF$12&lt;&gt;0,$H104&gt;0,OR(AUTOEVENTO&lt;&gt;"manual",$M104&lt;&gt;1)), IF(Import.TipoArredondamento&lt;&gt;"TransfereGOV", ROUND(OFFSET($P104,0,AF$13),15-13*ORÇAMENTO!$AF$7)/$H104*OFFSET(ORÇAMENTO!$X$15,ROW(AF104)-ROW(AF$15),0), ROUND(ROUND(OFFSET($P104,0,AF$13),15-13*ORÇAMENTO!$AF$7)*OFFSET(ORÇAMENTO!$W$15,ROW(AF104)-ROW(AF$15),0),15-13*ORÇAMENTO!$AF$11)),0)</f>
        <v>0</v>
      </c>
      <c r="AG104" s="545">
        <f ca="1">IF(AND($D104="Serviço",AG$12&lt;&gt;0,$H104&gt;0,OR(AUTOEVENTO&lt;&gt;"manual",$M104&lt;&gt;1)), IF(Import.TipoArredondamento&lt;&gt;"TransfereGOV", ROUND(OFFSET($P104,0,AG$13),15-13*ORÇAMENTO!$AF$7)/$H104*OFFSET(ORÇAMENTO!$X$15,ROW(AG104)-ROW(AG$15),0), ROUND(ROUND(OFFSET($P104,0,AG$13),15-13*ORÇAMENTO!$AF$7)*OFFSET(ORÇAMENTO!$W$15,ROW(AG104)-ROW(AG$15),0),15-13*ORÇAMENTO!$AF$11)),0)</f>
        <v>0</v>
      </c>
      <c r="AH104" s="545">
        <f ca="1">IF(AND($D104="Serviço",AH$12&lt;&gt;0,$H104&gt;0,OR(AUTOEVENTO&lt;&gt;"manual",$M104&lt;&gt;1)), IF(Import.TipoArredondamento&lt;&gt;"TransfereGOV", ROUND(OFFSET($P104,0,AH$13),15-13*ORÇAMENTO!$AF$7)/$H104*OFFSET(ORÇAMENTO!$X$15,ROW(AH104)-ROW(AH$15),0), ROUND(ROUND(OFFSET($P104,0,AH$13),15-13*ORÇAMENTO!$AF$7)*OFFSET(ORÇAMENTO!$W$15,ROW(AH104)-ROW(AH$15),0),15-13*ORÇAMENTO!$AF$11)),0)</f>
        <v>0</v>
      </c>
      <c r="AI104" s="545">
        <f ca="1">IF(AND($D104="Serviço",AI$12&lt;&gt;0,$H104&gt;0,OR(AUTOEVENTO&lt;&gt;"manual",$M104&lt;&gt;1)), IF(Import.TipoArredondamento&lt;&gt;"TransfereGOV", ROUND(OFFSET($P104,0,AI$13),15-13*ORÇAMENTO!$AF$7)/$H104*OFFSET(ORÇAMENTO!$X$15,ROW(AI104)-ROW(AI$15),0), ROUND(ROUND(OFFSET($P104,0,AI$13),15-13*ORÇAMENTO!$AF$7)*OFFSET(ORÇAMENTO!$W$15,ROW(AI104)-ROW(AI$15),0),15-13*ORÇAMENTO!$AF$11)),0)</f>
        <v>0</v>
      </c>
      <c r="AJ104" s="545">
        <f ca="1">IF(AND($D104="Serviço",AJ$12&lt;&gt;0,$H104&gt;0,OR(AUTOEVENTO&lt;&gt;"manual",$M104&lt;&gt;1)), IF(Import.TipoArredondamento&lt;&gt;"TransfereGOV", ROUND(OFFSET($P104,0,AJ$13),15-13*ORÇAMENTO!$AF$7)/$H104*OFFSET(ORÇAMENTO!$X$15,ROW(AJ104)-ROW(AJ$15),0), ROUND(ROUND(OFFSET($P104,0,AJ$13),15-13*ORÇAMENTO!$AF$7)*OFFSET(ORÇAMENTO!$W$15,ROW(AJ104)-ROW(AJ$15),0),15-13*ORÇAMENTO!$AF$11)),0)</f>
        <v>0</v>
      </c>
      <c r="AK104" s="546">
        <f ca="1">IF(AND($D104="Serviço",AK$12&lt;&gt;0,$H104&gt;0,OR(AUTOEVENTO&lt;&gt;"manual",$M104&lt;&gt;1)), IF(Import.TipoArredondamento&lt;&gt;"TransfereGOV", ROUND(OFFSET($P104,0,AK$13),15-13*ORÇAMENTO!$AF$7)/$H104*OFFSET(ORÇAMENTO!$X$15,ROW(AK104)-ROW(AK$15),0), ROUND(ROUND(OFFSET($P104,0,AK$13),15-13*ORÇAMENTO!$AF$7)*OFFSET(ORÇAMENTO!$W$15,ROW(AK104)-ROW(AK$15),0),15-13*ORÇAMENTO!$AF$11)),0)</f>
        <v>0</v>
      </c>
      <c r="AM104" s="181">
        <f ca="1">IF($D104&lt;&gt;"Serviço",0,IF(AND(AUTOEVENTO="Manual",$M104=1),0,IF(OFFSET(CRONOPLE!$F$14,$M104,AM$13)="",10^12,OFFSET(CRONOPLE!$F$14,$M104,AM$13))))</f>
        <v>0</v>
      </c>
      <c r="AN104" s="181">
        <f ca="1">IF($D104&lt;&gt;"Serviço",0,IF(AND(AUTOEVENTO="Manual",$M104=1),0,IF(OFFSET(CRONOPLE!$F$14,$M104,AN$13)="",10^12,OFFSET(CRONOPLE!$F$14,$M104,AN$13))))</f>
        <v>0</v>
      </c>
      <c r="AO104" s="181">
        <f ca="1">IF($D104&lt;&gt;"Serviço",0,IF(AND(AUTOEVENTO="Manual",$M104=1),0,IF(OFFSET(CRONOPLE!$F$14,$M104,AO$13)="",10^12,OFFSET(CRONOPLE!$F$14,$M104,AO$13))))</f>
        <v>0</v>
      </c>
      <c r="AP104" s="181">
        <f ca="1">IF($D104&lt;&gt;"Serviço",0,IF(AND(AUTOEVENTO="Manual",$M104=1),0,IF(OFFSET(CRONOPLE!$F$14,$M104,AP$13)="",10^12,OFFSET(CRONOPLE!$F$14,$M104,AP$13))))</f>
        <v>0</v>
      </c>
      <c r="AQ104" s="181">
        <f ca="1">IF($D104&lt;&gt;"Serviço",0,IF(AND(AUTOEVENTO="Manual",$M104=1),0,IF(OFFSET(CRONOPLE!$F$14,$M104,AQ$13)="",10^12,OFFSET(CRONOPLE!$F$14,$M104,AQ$13))))</f>
        <v>0</v>
      </c>
      <c r="AR104" s="181">
        <f ca="1">IF($D104&lt;&gt;"Serviço",0,IF(AND(AUTOEVENTO="Manual",$M104=1),0,IF(OFFSET(CRONOPLE!$F$14,$M104,AR$13)="",10^12,OFFSET(CRONOPLE!$F$14,$M104,AR$13))))</f>
        <v>0</v>
      </c>
      <c r="AS104" s="181">
        <f ca="1">IF($D104&lt;&gt;"Serviço",0,IF(AND(AUTOEVENTO="Manual",$M104=1),0,IF(OFFSET(CRONOPLE!$F$14,$M104,AS$13)="",10^12,OFFSET(CRONOPLE!$F$14,$M104,AS$13))))</f>
        <v>0</v>
      </c>
      <c r="AT104" s="181">
        <f ca="1">IF($D104&lt;&gt;"Serviço",0,IF(AND(AUTOEVENTO="Manual",$M104=1),0,IF(OFFSET(CRONOPLE!$F$14,$M104,AT$13)="",10^12,OFFSET(CRONOPLE!$F$14,$M104,AT$13))))</f>
        <v>0</v>
      </c>
      <c r="AU104" s="181">
        <f ca="1">IF($D104&lt;&gt;"Serviço",0,IF(AND(AUTOEVENTO="Manual",$M104=1),0,IF(OFFSET(CRONOPLE!$F$14,$M104,AU$13)="",10^12,OFFSET(CRONOPLE!$F$14,$M104,AU$13))))</f>
        <v>0</v>
      </c>
      <c r="AV104" s="181">
        <f ca="1">IF($D104&lt;&gt;"Serviço",0,IF(AND(AUTOEVENTO="Manual",$M104=1),0,IF(OFFSET(CRONOPLE!$F$14,$M104,AV$13)="",10^12,OFFSET(CRONOPLE!$F$14,$M104,AV$13))))</f>
        <v>0</v>
      </c>
      <c r="AX104" s="182">
        <f ca="1">IF($D104&lt;&gt;"Serviço",0,IF(OR(AND(AUTOEVENTO="Manual",$M104=1),$M104&gt;(ROW(PLE.lastrow)-ROW(PLE.firstrow))),0,IF(OFFSET(PLE!$G$14,$M104,AX$13)="",10^12,OFFSET(PLE!$G$14,$M104,AX$13))))</f>
        <v>0</v>
      </c>
      <c r="AY104" s="182">
        <f ca="1">IF($D104&lt;&gt;"Serviço",0,IF(OR(AND(AUTOEVENTO="Manual",$M104=1),$M104&gt;(ROW(PLE.lastrow)-ROW(PLE.firstrow))),0,IF(OFFSET(PLE!$G$14,$M104,AY$13)="",10^12,OFFSET(PLE!$G$14,$M104,AY$13))))</f>
        <v>0</v>
      </c>
      <c r="AZ104" s="182">
        <f ca="1">IF($D104&lt;&gt;"Serviço",0,IF(OR(AND(AUTOEVENTO="Manual",$M104=1),$M104&gt;(ROW(PLE.lastrow)-ROW(PLE.firstrow))),0,IF(OFFSET(PLE!$G$14,$M104,AZ$13)="",10^12,OFFSET(PLE!$G$14,$M104,AZ$13))))</f>
        <v>0</v>
      </c>
      <c r="BA104" s="182">
        <f ca="1">IF($D104&lt;&gt;"Serviço",0,IF(OR(AND(AUTOEVENTO="Manual",$M104=1),$M104&gt;(ROW(PLE.lastrow)-ROW(PLE.firstrow))),0,IF(OFFSET(PLE!$G$14,$M104,BA$13)="",10^12,OFFSET(PLE!$G$14,$M104,BA$13))))</f>
        <v>0</v>
      </c>
      <c r="BB104" s="182">
        <f ca="1">IF($D104&lt;&gt;"Serviço",0,IF(OR(AND(AUTOEVENTO="Manual",$M104=1),$M104&gt;(ROW(PLE.lastrow)-ROW(PLE.firstrow))),0,IF(OFFSET(PLE!$G$14,$M104,BB$13)="",10^12,OFFSET(PLE!$G$14,$M104,BB$13))))</f>
        <v>0</v>
      </c>
      <c r="BC104" s="182">
        <f ca="1">IF($D104&lt;&gt;"Serviço",0,IF(OR(AND(AUTOEVENTO="Manual",$M104=1),$M104&gt;(ROW(PLE.lastrow)-ROW(PLE.firstrow))),0,IF(OFFSET(PLE!$G$14,$M104,BC$13)="",10^12,OFFSET(PLE!$G$14,$M104,BC$13))))</f>
        <v>0</v>
      </c>
      <c r="BD104" s="182">
        <f ca="1">IF($D104&lt;&gt;"Serviço",0,IF(OR(AND(AUTOEVENTO="Manual",$M104=1),$M104&gt;(ROW(PLE.lastrow)-ROW(PLE.firstrow))),0,IF(OFFSET(PLE!$G$14,$M104,BD$13)="",10^12,OFFSET(PLE!$G$14,$M104,BD$13))))</f>
        <v>0</v>
      </c>
      <c r="BE104" s="182">
        <f ca="1">IF($D104&lt;&gt;"Serviço",0,IF(OR(AND(AUTOEVENTO="Manual",$M104=1),$M104&gt;(ROW(PLE.lastrow)-ROW(PLE.firstrow))),0,IF(OFFSET(PLE!$G$14,$M104,BE$13)="",10^12,OFFSET(PLE!$G$14,$M104,BE$13))))</f>
        <v>0</v>
      </c>
      <c r="BF104" s="182">
        <f ca="1">IF($D104&lt;&gt;"Serviço",0,IF(OR(AND(AUTOEVENTO="Manual",$M104=1),$M104&gt;(ROW(PLE.lastrow)-ROW(PLE.firstrow))),0,IF(OFFSET(PLE!$G$14,$M104,BF$13)="",10^12,OFFSET(PLE!$G$14,$M104,BF$13))))</f>
        <v>0</v>
      </c>
      <c r="BG104" s="182">
        <f ca="1">IF($D104&lt;&gt;"Serviço",0,IF(OR(AND(AUTOEVENTO="Manual",$M104=1),$M104&gt;(ROW(PLE.lastrow)-ROW(PLE.firstrow))),0,IF(OFFSET(PLE!$G$14,$M104,BG$13)="",10^12,OFFSET(PLE!$G$14,$M104,BG$13))))</f>
        <v>0</v>
      </c>
    </row>
    <row r="105" spans="1:59" ht="25.5" x14ac:dyDescent="0.2">
      <c r="A105" s="7" t="str">
        <f t="shared" ca="1" si="10"/>
        <v>89</v>
      </c>
      <c r="B105" s="7" t="str">
        <f ca="1">OFFSET(ORÇAMENTO!C$15,ROW(B105)-ROW(B$15),0)</f>
        <v>S</v>
      </c>
      <c r="C105" s="7" t="str">
        <f ca="1">OFFSET(ORÇAMENTO!L$15,ROW(C105)-ROW(C$15),0)</f>
        <v>F</v>
      </c>
      <c r="D105" s="118" t="str">
        <f ca="1">OFFSET(ORÇAMENTO!N$15,ROW(D105)-ROW(D$15),0)</f>
        <v>Serviço</v>
      </c>
      <c r="E105" s="119" t="str">
        <f ca="1">OFFSET(ORÇAMENTO!O$15,ROW(E105)-ROW(E$15),0)</f>
        <v>3.4.1.</v>
      </c>
      <c r="F105" s="172" t="str">
        <f ca="1">OFFSET(ORÇAMENTO!R$15,ROW(F105)-ROW(F$15),0)</f>
        <v>LIMPEZA E LAVAGEM DE PISTA COM CAMINHÃO PIPA E VASSOURA MECÂNICA</v>
      </c>
      <c r="G105" s="173" t="str">
        <f ca="1">IF($D105&lt;&gt;"Serviço","",OFFSET(ORÇAMENTO!S$15,ROW(G105)-ROW(G$15),0))</f>
        <v>M²</v>
      </c>
      <c r="H105" s="124">
        <f ca="1">IF($D105&lt;&gt;"Serviço",0,IF(ACOMPANHAMENTO="BM",ROUND(OFFSET(ORÇAMENTO!AJ$15,ROW(H105)-ROW(H$15),0),15-13*ORÇAMENTO!$AF$7),SUMPRODUCT(($Q$12:$AA$12&lt;&gt;"")*ROUND($Q105:$AA105,15-13*ORÇAMENTO!$AF$7))))</f>
        <v>2472.09</v>
      </c>
      <c r="I105" s="561"/>
      <c r="K105" s="174"/>
      <c r="L105" s="175" t="s">
        <v>255</v>
      </c>
      <c r="M105" s="176">
        <f ca="1">IF($D105&lt;&gt;"Serviço","",IF(AUTOEVENTO="manual",$A105,IF(ISERROR(MATCH($A105,$A$15:OFFSET($A105,-1,0),0)),MAX($M$15:OFFSET(M105,-1,0))+1,INDEX($M$15:OFFSET(M105,-1,0),MATCH($A105,$A$15:OFFSET($A105,-1,0),0)))))</f>
        <v>15</v>
      </c>
      <c r="N105" s="177" t="str">
        <f ca="1">IF($D105&lt;&gt;"Serviço","",IF(AUTOEVENTO="Manual",IF($A105=0,"&lt;-- defina o número do agrupador",OFFSET(EVENTOS!$D$14,$A105,0)),OFFSET($F$15,$A105,0)))</f>
        <v>PAVIMENTAÇÃO</v>
      </c>
      <c r="O105" s="178"/>
      <c r="Q105" s="178"/>
      <c r="R105" s="179"/>
      <c r="S105" s="179"/>
      <c r="T105" s="179"/>
      <c r="U105" s="179"/>
      <c r="V105" s="179"/>
      <c r="W105" s="179"/>
      <c r="X105" s="179"/>
      <c r="Y105" s="179"/>
      <c r="Z105" s="180"/>
      <c r="AB105" s="544">
        <f ca="1">IF(AND($D105="Serviço",AB$12&lt;&gt;0,$H105&gt;0,OR(AUTOEVENTO&lt;&gt;"manual",$M105&lt;&gt;1)), IF(Import.TipoArredondamento&lt;&gt;"TransfereGOV", ROUND(OFFSET($P105,0,AB$13),15-13*ORÇAMENTO!$AF$7)/$H105*OFFSET(ORÇAMENTO!$X$15,ROW(AB105)-ROW(AB$15),0), ROUND(ROUND(OFFSET($P105,0,AB$13),15-13*ORÇAMENTO!$AF$7)*OFFSET(ORÇAMENTO!$W$15,ROW(AB105)-ROW(AB$15),0),15-13*ORÇAMENTO!$AF$11)),0)</f>
        <v>0</v>
      </c>
      <c r="AC105" s="545">
        <f ca="1">IF(AND($D105="Serviço",AC$12&lt;&gt;0,$H105&gt;0,OR(AUTOEVENTO&lt;&gt;"manual",$M105&lt;&gt;1)), IF(Import.TipoArredondamento&lt;&gt;"TransfereGOV", ROUND(OFFSET($P105,0,AC$13),15-13*ORÇAMENTO!$AF$7)/$H105*OFFSET(ORÇAMENTO!$X$15,ROW(AC105)-ROW(AC$15),0), ROUND(ROUND(OFFSET($P105,0,AC$13),15-13*ORÇAMENTO!$AF$7)*OFFSET(ORÇAMENTO!$W$15,ROW(AC105)-ROW(AC$15),0),15-13*ORÇAMENTO!$AF$11)),0)</f>
        <v>0</v>
      </c>
      <c r="AD105" s="545">
        <f ca="1">IF(AND($D105="Serviço",AD$12&lt;&gt;0,$H105&gt;0,OR(AUTOEVENTO&lt;&gt;"manual",$M105&lt;&gt;1)), IF(Import.TipoArredondamento&lt;&gt;"TransfereGOV", ROUND(OFFSET($P105,0,AD$13),15-13*ORÇAMENTO!$AF$7)/$H105*OFFSET(ORÇAMENTO!$X$15,ROW(AD105)-ROW(AD$15),0), ROUND(ROUND(OFFSET($P105,0,AD$13),15-13*ORÇAMENTO!$AF$7)*OFFSET(ORÇAMENTO!$W$15,ROW(AD105)-ROW(AD$15),0),15-13*ORÇAMENTO!$AF$11)),0)</f>
        <v>0</v>
      </c>
      <c r="AE105" s="545">
        <f ca="1">IF(AND($D105="Serviço",AE$12&lt;&gt;0,$H105&gt;0,OR(AUTOEVENTO&lt;&gt;"manual",$M105&lt;&gt;1)), IF(Import.TipoArredondamento&lt;&gt;"TransfereGOV", ROUND(OFFSET($P105,0,AE$13),15-13*ORÇAMENTO!$AF$7)/$H105*OFFSET(ORÇAMENTO!$X$15,ROW(AE105)-ROW(AE$15),0), ROUND(ROUND(OFFSET($P105,0,AE$13),15-13*ORÇAMENTO!$AF$7)*OFFSET(ORÇAMENTO!$W$15,ROW(AE105)-ROW(AE$15),0),15-13*ORÇAMENTO!$AF$11)),0)</f>
        <v>0</v>
      </c>
      <c r="AF105" s="545">
        <f ca="1">IF(AND($D105="Serviço",AF$12&lt;&gt;0,$H105&gt;0,OR(AUTOEVENTO&lt;&gt;"manual",$M105&lt;&gt;1)), IF(Import.TipoArredondamento&lt;&gt;"TransfereGOV", ROUND(OFFSET($P105,0,AF$13),15-13*ORÇAMENTO!$AF$7)/$H105*OFFSET(ORÇAMENTO!$X$15,ROW(AF105)-ROW(AF$15),0), ROUND(ROUND(OFFSET($P105,0,AF$13),15-13*ORÇAMENTO!$AF$7)*OFFSET(ORÇAMENTO!$W$15,ROW(AF105)-ROW(AF$15),0),15-13*ORÇAMENTO!$AF$11)),0)</f>
        <v>0</v>
      </c>
      <c r="AG105" s="545">
        <f ca="1">IF(AND($D105="Serviço",AG$12&lt;&gt;0,$H105&gt;0,OR(AUTOEVENTO&lt;&gt;"manual",$M105&lt;&gt;1)), IF(Import.TipoArredondamento&lt;&gt;"TransfereGOV", ROUND(OFFSET($P105,0,AG$13),15-13*ORÇAMENTO!$AF$7)/$H105*OFFSET(ORÇAMENTO!$X$15,ROW(AG105)-ROW(AG$15),0), ROUND(ROUND(OFFSET($P105,0,AG$13),15-13*ORÇAMENTO!$AF$7)*OFFSET(ORÇAMENTO!$W$15,ROW(AG105)-ROW(AG$15),0),15-13*ORÇAMENTO!$AF$11)),0)</f>
        <v>0</v>
      </c>
      <c r="AH105" s="545">
        <f ca="1">IF(AND($D105="Serviço",AH$12&lt;&gt;0,$H105&gt;0,OR(AUTOEVENTO&lt;&gt;"manual",$M105&lt;&gt;1)), IF(Import.TipoArredondamento&lt;&gt;"TransfereGOV", ROUND(OFFSET($P105,0,AH$13),15-13*ORÇAMENTO!$AF$7)/$H105*OFFSET(ORÇAMENTO!$X$15,ROW(AH105)-ROW(AH$15),0), ROUND(ROUND(OFFSET($P105,0,AH$13),15-13*ORÇAMENTO!$AF$7)*OFFSET(ORÇAMENTO!$W$15,ROW(AH105)-ROW(AH$15),0),15-13*ORÇAMENTO!$AF$11)),0)</f>
        <v>0</v>
      </c>
      <c r="AI105" s="545">
        <f ca="1">IF(AND($D105="Serviço",AI$12&lt;&gt;0,$H105&gt;0,OR(AUTOEVENTO&lt;&gt;"manual",$M105&lt;&gt;1)), IF(Import.TipoArredondamento&lt;&gt;"TransfereGOV", ROUND(OFFSET($P105,0,AI$13),15-13*ORÇAMENTO!$AF$7)/$H105*OFFSET(ORÇAMENTO!$X$15,ROW(AI105)-ROW(AI$15),0), ROUND(ROUND(OFFSET($P105,0,AI$13),15-13*ORÇAMENTO!$AF$7)*OFFSET(ORÇAMENTO!$W$15,ROW(AI105)-ROW(AI$15),0),15-13*ORÇAMENTO!$AF$11)),0)</f>
        <v>0</v>
      </c>
      <c r="AJ105" s="545">
        <f ca="1">IF(AND($D105="Serviço",AJ$12&lt;&gt;0,$H105&gt;0,OR(AUTOEVENTO&lt;&gt;"manual",$M105&lt;&gt;1)), IF(Import.TipoArredondamento&lt;&gt;"TransfereGOV", ROUND(OFFSET($P105,0,AJ$13),15-13*ORÇAMENTO!$AF$7)/$H105*OFFSET(ORÇAMENTO!$X$15,ROW(AJ105)-ROW(AJ$15),0), ROUND(ROUND(OFFSET($P105,0,AJ$13),15-13*ORÇAMENTO!$AF$7)*OFFSET(ORÇAMENTO!$W$15,ROW(AJ105)-ROW(AJ$15),0),15-13*ORÇAMENTO!$AF$11)),0)</f>
        <v>0</v>
      </c>
      <c r="AK105" s="546">
        <f ca="1">IF(AND($D105="Serviço",AK$12&lt;&gt;0,$H105&gt;0,OR(AUTOEVENTO&lt;&gt;"manual",$M105&lt;&gt;1)), IF(Import.TipoArredondamento&lt;&gt;"TransfereGOV", ROUND(OFFSET($P105,0,AK$13),15-13*ORÇAMENTO!$AF$7)/$H105*OFFSET(ORÇAMENTO!$X$15,ROW(AK105)-ROW(AK$15),0), ROUND(ROUND(OFFSET($P105,0,AK$13),15-13*ORÇAMENTO!$AF$7)*OFFSET(ORÇAMENTO!$W$15,ROW(AK105)-ROW(AK$15),0),15-13*ORÇAMENTO!$AF$11)),0)</f>
        <v>0</v>
      </c>
      <c r="AM105" s="181">
        <f ca="1">IF($D105&lt;&gt;"Serviço",0,IF(AND(AUTOEVENTO="Manual",$M105=1),0,IF(OFFSET(CRONOPLE!$F$14,$M105,AM$13)="",10^12,OFFSET(CRONOPLE!$F$14,$M105,AM$13))))</f>
        <v>1000000000000</v>
      </c>
      <c r="AN105" s="181">
        <f ca="1">IF($D105&lt;&gt;"Serviço",0,IF(AND(AUTOEVENTO="Manual",$M105=1),0,IF(OFFSET(CRONOPLE!$F$14,$M105,AN$13)="",10^12,OFFSET(CRONOPLE!$F$14,$M105,AN$13))))</f>
        <v>1000000000000</v>
      </c>
      <c r="AO105" s="181">
        <f ca="1">IF($D105&lt;&gt;"Serviço",0,IF(AND(AUTOEVENTO="Manual",$M105=1),0,IF(OFFSET(CRONOPLE!$F$14,$M105,AO$13)="",10^12,OFFSET(CRONOPLE!$F$14,$M105,AO$13))))</f>
        <v>1000000000000</v>
      </c>
      <c r="AP105" s="181">
        <f ca="1">IF($D105&lt;&gt;"Serviço",0,IF(AND(AUTOEVENTO="Manual",$M105=1),0,IF(OFFSET(CRONOPLE!$F$14,$M105,AP$13)="",10^12,OFFSET(CRONOPLE!$F$14,$M105,AP$13))))</f>
        <v>1000000000000</v>
      </c>
      <c r="AQ105" s="181">
        <f ca="1">IF($D105&lt;&gt;"Serviço",0,IF(AND(AUTOEVENTO="Manual",$M105=1),0,IF(OFFSET(CRONOPLE!$F$14,$M105,AQ$13)="",10^12,OFFSET(CRONOPLE!$F$14,$M105,AQ$13))))</f>
        <v>1000000000000</v>
      </c>
      <c r="AR105" s="181">
        <f ca="1">IF($D105&lt;&gt;"Serviço",0,IF(AND(AUTOEVENTO="Manual",$M105=1),0,IF(OFFSET(CRONOPLE!$F$14,$M105,AR$13)="",10^12,OFFSET(CRONOPLE!$F$14,$M105,AR$13))))</f>
        <v>1000000000000</v>
      </c>
      <c r="AS105" s="181">
        <f ca="1">IF($D105&lt;&gt;"Serviço",0,IF(AND(AUTOEVENTO="Manual",$M105=1),0,IF(OFFSET(CRONOPLE!$F$14,$M105,AS$13)="",10^12,OFFSET(CRONOPLE!$F$14,$M105,AS$13))))</f>
        <v>1000000000000</v>
      </c>
      <c r="AT105" s="181">
        <f ca="1">IF($D105&lt;&gt;"Serviço",0,IF(AND(AUTOEVENTO="Manual",$M105=1),0,IF(OFFSET(CRONOPLE!$F$14,$M105,AT$13)="",10^12,OFFSET(CRONOPLE!$F$14,$M105,AT$13))))</f>
        <v>1000000000000</v>
      </c>
      <c r="AU105" s="181">
        <f ca="1">IF($D105&lt;&gt;"Serviço",0,IF(AND(AUTOEVENTO="Manual",$M105=1),0,IF(OFFSET(CRONOPLE!$F$14,$M105,AU$13)="",10^12,OFFSET(CRONOPLE!$F$14,$M105,AU$13))))</f>
        <v>1000000000000</v>
      </c>
      <c r="AV105" s="181">
        <f ca="1">IF($D105&lt;&gt;"Serviço",0,IF(AND(AUTOEVENTO="Manual",$M105=1),0,IF(OFFSET(CRONOPLE!$F$14,$M105,AV$13)="",10^12,OFFSET(CRONOPLE!$F$14,$M105,AV$13))))</f>
        <v>1000000000000</v>
      </c>
      <c r="AX105" s="182">
        <f ca="1">IF($D105&lt;&gt;"Serviço",0,IF(OR(AND(AUTOEVENTO="Manual",$M105=1),$M105&gt;(ROW(PLE.lastrow)-ROW(PLE.firstrow))),0,IF(OFFSET(PLE!$G$14,$M105,AX$13)="",10^12,OFFSET(PLE!$G$14,$M105,AX$13))))</f>
        <v>1000000000000</v>
      </c>
      <c r="AY105" s="182">
        <f ca="1">IF($D105&lt;&gt;"Serviço",0,IF(OR(AND(AUTOEVENTO="Manual",$M105=1),$M105&gt;(ROW(PLE.lastrow)-ROW(PLE.firstrow))),0,IF(OFFSET(PLE!$G$14,$M105,AY$13)="",10^12,OFFSET(PLE!$G$14,$M105,AY$13))))</f>
        <v>1000000000000</v>
      </c>
      <c r="AZ105" s="182">
        <f ca="1">IF($D105&lt;&gt;"Serviço",0,IF(OR(AND(AUTOEVENTO="Manual",$M105=1),$M105&gt;(ROW(PLE.lastrow)-ROW(PLE.firstrow))),0,IF(OFFSET(PLE!$G$14,$M105,AZ$13)="",10^12,OFFSET(PLE!$G$14,$M105,AZ$13))))</f>
        <v>1000000000000</v>
      </c>
      <c r="BA105" s="182">
        <f ca="1">IF($D105&lt;&gt;"Serviço",0,IF(OR(AND(AUTOEVENTO="Manual",$M105=1),$M105&gt;(ROW(PLE.lastrow)-ROW(PLE.firstrow))),0,IF(OFFSET(PLE!$G$14,$M105,BA$13)="",10^12,OFFSET(PLE!$G$14,$M105,BA$13))))</f>
        <v>1000000000000</v>
      </c>
      <c r="BB105" s="182">
        <f ca="1">IF($D105&lt;&gt;"Serviço",0,IF(OR(AND(AUTOEVENTO="Manual",$M105=1),$M105&gt;(ROW(PLE.lastrow)-ROW(PLE.firstrow))),0,IF(OFFSET(PLE!$G$14,$M105,BB$13)="",10^12,OFFSET(PLE!$G$14,$M105,BB$13))))</f>
        <v>1000000000000</v>
      </c>
      <c r="BC105" s="182">
        <f ca="1">IF($D105&lt;&gt;"Serviço",0,IF(OR(AND(AUTOEVENTO="Manual",$M105=1),$M105&gt;(ROW(PLE.lastrow)-ROW(PLE.firstrow))),0,IF(OFFSET(PLE!$G$14,$M105,BC$13)="",10^12,OFFSET(PLE!$G$14,$M105,BC$13))))</f>
        <v>1000000000000</v>
      </c>
      <c r="BD105" s="182">
        <f ca="1">IF($D105&lt;&gt;"Serviço",0,IF(OR(AND(AUTOEVENTO="Manual",$M105=1),$M105&gt;(ROW(PLE.lastrow)-ROW(PLE.firstrow))),0,IF(OFFSET(PLE!$G$14,$M105,BD$13)="",10^12,OFFSET(PLE!$G$14,$M105,BD$13))))</f>
        <v>1000000000000</v>
      </c>
      <c r="BE105" s="182">
        <f ca="1">IF($D105&lt;&gt;"Serviço",0,IF(OR(AND(AUTOEVENTO="Manual",$M105=1),$M105&gt;(ROW(PLE.lastrow)-ROW(PLE.firstrow))),0,IF(OFFSET(PLE!$G$14,$M105,BE$13)="",10^12,OFFSET(PLE!$G$14,$M105,BE$13))))</f>
        <v>1000000000000</v>
      </c>
      <c r="BF105" s="182">
        <f ca="1">IF($D105&lt;&gt;"Serviço",0,IF(OR(AND(AUTOEVENTO="Manual",$M105=1),$M105&gt;(ROW(PLE.lastrow)-ROW(PLE.firstrow))),0,IF(OFFSET(PLE!$G$14,$M105,BF$13)="",10^12,OFFSET(PLE!$G$14,$M105,BF$13))))</f>
        <v>1000000000000</v>
      </c>
      <c r="BG105" s="182">
        <f ca="1">IF($D105&lt;&gt;"Serviço",0,IF(OR(AND(AUTOEVENTO="Manual",$M105=1),$M105&gt;(ROW(PLE.lastrow)-ROW(PLE.firstrow))),0,IF(OFFSET(PLE!$G$14,$M105,BG$13)="",10^12,OFFSET(PLE!$G$14,$M105,BG$13))))</f>
        <v>1000000000000</v>
      </c>
    </row>
    <row r="106" spans="1:59" ht="12.75" x14ac:dyDescent="0.2">
      <c r="A106" s="7" t="str">
        <f t="shared" ca="1" si="10"/>
        <v>89</v>
      </c>
      <c r="B106" s="7" t="str">
        <f ca="1">OFFSET(ORÇAMENTO!C$15,ROW(B106)-ROW(B$15),0)</f>
        <v>S</v>
      </c>
      <c r="C106" s="7" t="str">
        <f ca="1">OFFSET(ORÇAMENTO!L$15,ROW(C106)-ROW(C$15),0)</f>
        <v>F</v>
      </c>
      <c r="D106" s="118" t="str">
        <f ca="1">OFFSET(ORÇAMENTO!N$15,ROW(D106)-ROW(D$15),0)</f>
        <v>Serviço</v>
      </c>
      <c r="E106" s="119" t="str">
        <f ca="1">OFFSET(ORÇAMENTO!O$15,ROW(E106)-ROW(E$15),0)</f>
        <v>3.4.2.</v>
      </c>
      <c r="F106" s="172" t="str">
        <f ca="1">OFFSET(ORÇAMENTO!R$15,ROW(F106)-ROW(F$15),0)</f>
        <v>Pintura de ligação</v>
      </c>
      <c r="G106" s="173" t="str">
        <f ca="1">IF($D106&lt;&gt;"Serviço","",OFFSET(ORÇAMENTO!S$15,ROW(G106)-ROW(G$15),0))</f>
        <v>m²</v>
      </c>
      <c r="H106" s="124">
        <f ca="1">IF($D106&lt;&gt;"Serviço",0,IF(ACOMPANHAMENTO="BM",ROUND(OFFSET(ORÇAMENTO!AJ$15,ROW(H106)-ROW(H$15),0),15-13*ORÇAMENTO!$AF$7),SUMPRODUCT(($Q$12:$AA$12&lt;&gt;"")*ROUND($Q106:$AA106,15-13*ORÇAMENTO!$AF$7))))</f>
        <v>4944.18</v>
      </c>
      <c r="I106" s="561"/>
      <c r="K106" s="174"/>
      <c r="L106" s="175" t="s">
        <v>255</v>
      </c>
      <c r="M106" s="176">
        <f ca="1">IF($D106&lt;&gt;"Serviço","",IF(AUTOEVENTO="manual",$A106,IF(ISERROR(MATCH($A106,$A$15:OFFSET($A106,-1,0),0)),MAX($M$15:OFFSET(M106,-1,0))+1,INDEX($M$15:OFFSET(M106,-1,0),MATCH($A106,$A$15:OFFSET($A106,-1,0),0)))))</f>
        <v>15</v>
      </c>
      <c r="N106" s="177" t="str">
        <f ca="1">IF($D106&lt;&gt;"Serviço","",IF(AUTOEVENTO="Manual",IF($A106=0,"&lt;-- defina o número do agrupador",OFFSET(EVENTOS!$D$14,$A106,0)),OFFSET($F$15,$A106,0)))</f>
        <v>PAVIMENTAÇÃO</v>
      </c>
      <c r="O106" s="178"/>
      <c r="Q106" s="178"/>
      <c r="R106" s="179"/>
      <c r="S106" s="179"/>
      <c r="T106" s="179"/>
      <c r="U106" s="179"/>
      <c r="V106" s="179"/>
      <c r="W106" s="179"/>
      <c r="X106" s="179"/>
      <c r="Y106" s="179"/>
      <c r="Z106" s="180"/>
      <c r="AB106" s="544">
        <f ca="1">IF(AND($D106="Serviço",AB$12&lt;&gt;0,$H106&gt;0,OR(AUTOEVENTO&lt;&gt;"manual",$M106&lt;&gt;1)), IF(Import.TipoArredondamento&lt;&gt;"TransfereGOV", ROUND(OFFSET($P106,0,AB$13),15-13*ORÇAMENTO!$AF$7)/$H106*OFFSET(ORÇAMENTO!$X$15,ROW(AB106)-ROW(AB$15),0), ROUND(ROUND(OFFSET($P106,0,AB$13),15-13*ORÇAMENTO!$AF$7)*OFFSET(ORÇAMENTO!$W$15,ROW(AB106)-ROW(AB$15),0),15-13*ORÇAMENTO!$AF$11)),0)</f>
        <v>0</v>
      </c>
      <c r="AC106" s="545">
        <f ca="1">IF(AND($D106="Serviço",AC$12&lt;&gt;0,$H106&gt;0,OR(AUTOEVENTO&lt;&gt;"manual",$M106&lt;&gt;1)), IF(Import.TipoArredondamento&lt;&gt;"TransfereGOV", ROUND(OFFSET($P106,0,AC$13),15-13*ORÇAMENTO!$AF$7)/$H106*OFFSET(ORÇAMENTO!$X$15,ROW(AC106)-ROW(AC$15),0), ROUND(ROUND(OFFSET($P106,0,AC$13),15-13*ORÇAMENTO!$AF$7)*OFFSET(ORÇAMENTO!$W$15,ROW(AC106)-ROW(AC$15),0),15-13*ORÇAMENTO!$AF$11)),0)</f>
        <v>0</v>
      </c>
      <c r="AD106" s="545">
        <f ca="1">IF(AND($D106="Serviço",AD$12&lt;&gt;0,$H106&gt;0,OR(AUTOEVENTO&lt;&gt;"manual",$M106&lt;&gt;1)), IF(Import.TipoArredondamento&lt;&gt;"TransfereGOV", ROUND(OFFSET($P106,0,AD$13),15-13*ORÇAMENTO!$AF$7)/$H106*OFFSET(ORÇAMENTO!$X$15,ROW(AD106)-ROW(AD$15),0), ROUND(ROUND(OFFSET($P106,0,AD$13),15-13*ORÇAMENTO!$AF$7)*OFFSET(ORÇAMENTO!$W$15,ROW(AD106)-ROW(AD$15),0),15-13*ORÇAMENTO!$AF$11)),0)</f>
        <v>0</v>
      </c>
      <c r="AE106" s="545">
        <f ca="1">IF(AND($D106="Serviço",AE$12&lt;&gt;0,$H106&gt;0,OR(AUTOEVENTO&lt;&gt;"manual",$M106&lt;&gt;1)), IF(Import.TipoArredondamento&lt;&gt;"TransfereGOV", ROUND(OFFSET($P106,0,AE$13),15-13*ORÇAMENTO!$AF$7)/$H106*OFFSET(ORÇAMENTO!$X$15,ROW(AE106)-ROW(AE$15),0), ROUND(ROUND(OFFSET($P106,0,AE$13),15-13*ORÇAMENTO!$AF$7)*OFFSET(ORÇAMENTO!$W$15,ROW(AE106)-ROW(AE$15),0),15-13*ORÇAMENTO!$AF$11)),0)</f>
        <v>0</v>
      </c>
      <c r="AF106" s="545">
        <f ca="1">IF(AND($D106="Serviço",AF$12&lt;&gt;0,$H106&gt;0,OR(AUTOEVENTO&lt;&gt;"manual",$M106&lt;&gt;1)), IF(Import.TipoArredondamento&lt;&gt;"TransfereGOV", ROUND(OFFSET($P106,0,AF$13),15-13*ORÇAMENTO!$AF$7)/$H106*OFFSET(ORÇAMENTO!$X$15,ROW(AF106)-ROW(AF$15),0), ROUND(ROUND(OFFSET($P106,0,AF$13),15-13*ORÇAMENTO!$AF$7)*OFFSET(ORÇAMENTO!$W$15,ROW(AF106)-ROW(AF$15),0),15-13*ORÇAMENTO!$AF$11)),0)</f>
        <v>0</v>
      </c>
      <c r="AG106" s="545">
        <f ca="1">IF(AND($D106="Serviço",AG$12&lt;&gt;0,$H106&gt;0,OR(AUTOEVENTO&lt;&gt;"manual",$M106&lt;&gt;1)), IF(Import.TipoArredondamento&lt;&gt;"TransfereGOV", ROUND(OFFSET($P106,0,AG$13),15-13*ORÇAMENTO!$AF$7)/$H106*OFFSET(ORÇAMENTO!$X$15,ROW(AG106)-ROW(AG$15),0), ROUND(ROUND(OFFSET($P106,0,AG$13),15-13*ORÇAMENTO!$AF$7)*OFFSET(ORÇAMENTO!$W$15,ROW(AG106)-ROW(AG$15),0),15-13*ORÇAMENTO!$AF$11)),0)</f>
        <v>0</v>
      </c>
      <c r="AH106" s="545">
        <f ca="1">IF(AND($D106="Serviço",AH$12&lt;&gt;0,$H106&gt;0,OR(AUTOEVENTO&lt;&gt;"manual",$M106&lt;&gt;1)), IF(Import.TipoArredondamento&lt;&gt;"TransfereGOV", ROUND(OFFSET($P106,0,AH$13),15-13*ORÇAMENTO!$AF$7)/$H106*OFFSET(ORÇAMENTO!$X$15,ROW(AH106)-ROW(AH$15),0), ROUND(ROUND(OFFSET($P106,0,AH$13),15-13*ORÇAMENTO!$AF$7)*OFFSET(ORÇAMENTO!$W$15,ROW(AH106)-ROW(AH$15),0),15-13*ORÇAMENTO!$AF$11)),0)</f>
        <v>0</v>
      </c>
      <c r="AI106" s="545">
        <f ca="1">IF(AND($D106="Serviço",AI$12&lt;&gt;0,$H106&gt;0,OR(AUTOEVENTO&lt;&gt;"manual",$M106&lt;&gt;1)), IF(Import.TipoArredondamento&lt;&gt;"TransfereGOV", ROUND(OFFSET($P106,0,AI$13),15-13*ORÇAMENTO!$AF$7)/$H106*OFFSET(ORÇAMENTO!$X$15,ROW(AI106)-ROW(AI$15),0), ROUND(ROUND(OFFSET($P106,0,AI$13),15-13*ORÇAMENTO!$AF$7)*OFFSET(ORÇAMENTO!$W$15,ROW(AI106)-ROW(AI$15),0),15-13*ORÇAMENTO!$AF$11)),0)</f>
        <v>0</v>
      </c>
      <c r="AJ106" s="545">
        <f ca="1">IF(AND($D106="Serviço",AJ$12&lt;&gt;0,$H106&gt;0,OR(AUTOEVENTO&lt;&gt;"manual",$M106&lt;&gt;1)), IF(Import.TipoArredondamento&lt;&gt;"TransfereGOV", ROUND(OFFSET($P106,0,AJ$13),15-13*ORÇAMENTO!$AF$7)/$H106*OFFSET(ORÇAMENTO!$X$15,ROW(AJ106)-ROW(AJ$15),0), ROUND(ROUND(OFFSET($P106,0,AJ$13),15-13*ORÇAMENTO!$AF$7)*OFFSET(ORÇAMENTO!$W$15,ROW(AJ106)-ROW(AJ$15),0),15-13*ORÇAMENTO!$AF$11)),0)</f>
        <v>0</v>
      </c>
      <c r="AK106" s="546">
        <f ca="1">IF(AND($D106="Serviço",AK$12&lt;&gt;0,$H106&gt;0,OR(AUTOEVENTO&lt;&gt;"manual",$M106&lt;&gt;1)), IF(Import.TipoArredondamento&lt;&gt;"TransfereGOV", ROUND(OFFSET($P106,0,AK$13),15-13*ORÇAMENTO!$AF$7)/$H106*OFFSET(ORÇAMENTO!$X$15,ROW(AK106)-ROW(AK$15),0), ROUND(ROUND(OFFSET($P106,0,AK$13),15-13*ORÇAMENTO!$AF$7)*OFFSET(ORÇAMENTO!$W$15,ROW(AK106)-ROW(AK$15),0),15-13*ORÇAMENTO!$AF$11)),0)</f>
        <v>0</v>
      </c>
      <c r="AM106" s="181">
        <f ca="1">IF($D106&lt;&gt;"Serviço",0,IF(AND(AUTOEVENTO="Manual",$M106=1),0,IF(OFFSET(CRONOPLE!$F$14,$M106,AM$13)="",10^12,OFFSET(CRONOPLE!$F$14,$M106,AM$13))))</f>
        <v>1000000000000</v>
      </c>
      <c r="AN106" s="181">
        <f ca="1">IF($D106&lt;&gt;"Serviço",0,IF(AND(AUTOEVENTO="Manual",$M106=1),0,IF(OFFSET(CRONOPLE!$F$14,$M106,AN$13)="",10^12,OFFSET(CRONOPLE!$F$14,$M106,AN$13))))</f>
        <v>1000000000000</v>
      </c>
      <c r="AO106" s="181">
        <f ca="1">IF($D106&lt;&gt;"Serviço",0,IF(AND(AUTOEVENTO="Manual",$M106=1),0,IF(OFFSET(CRONOPLE!$F$14,$M106,AO$13)="",10^12,OFFSET(CRONOPLE!$F$14,$M106,AO$13))))</f>
        <v>1000000000000</v>
      </c>
      <c r="AP106" s="181">
        <f ca="1">IF($D106&lt;&gt;"Serviço",0,IF(AND(AUTOEVENTO="Manual",$M106=1),0,IF(OFFSET(CRONOPLE!$F$14,$M106,AP$13)="",10^12,OFFSET(CRONOPLE!$F$14,$M106,AP$13))))</f>
        <v>1000000000000</v>
      </c>
      <c r="AQ106" s="181">
        <f ca="1">IF($D106&lt;&gt;"Serviço",0,IF(AND(AUTOEVENTO="Manual",$M106=1),0,IF(OFFSET(CRONOPLE!$F$14,$M106,AQ$13)="",10^12,OFFSET(CRONOPLE!$F$14,$M106,AQ$13))))</f>
        <v>1000000000000</v>
      </c>
      <c r="AR106" s="181">
        <f ca="1">IF($D106&lt;&gt;"Serviço",0,IF(AND(AUTOEVENTO="Manual",$M106=1),0,IF(OFFSET(CRONOPLE!$F$14,$M106,AR$13)="",10^12,OFFSET(CRONOPLE!$F$14,$M106,AR$13))))</f>
        <v>1000000000000</v>
      </c>
      <c r="AS106" s="181">
        <f ca="1">IF($D106&lt;&gt;"Serviço",0,IF(AND(AUTOEVENTO="Manual",$M106=1),0,IF(OFFSET(CRONOPLE!$F$14,$M106,AS$13)="",10^12,OFFSET(CRONOPLE!$F$14,$M106,AS$13))))</f>
        <v>1000000000000</v>
      </c>
      <c r="AT106" s="181">
        <f ca="1">IF($D106&lt;&gt;"Serviço",0,IF(AND(AUTOEVENTO="Manual",$M106=1),0,IF(OFFSET(CRONOPLE!$F$14,$M106,AT$13)="",10^12,OFFSET(CRONOPLE!$F$14,$M106,AT$13))))</f>
        <v>1000000000000</v>
      </c>
      <c r="AU106" s="181">
        <f ca="1">IF($D106&lt;&gt;"Serviço",0,IF(AND(AUTOEVENTO="Manual",$M106=1),0,IF(OFFSET(CRONOPLE!$F$14,$M106,AU$13)="",10^12,OFFSET(CRONOPLE!$F$14,$M106,AU$13))))</f>
        <v>1000000000000</v>
      </c>
      <c r="AV106" s="181">
        <f ca="1">IF($D106&lt;&gt;"Serviço",0,IF(AND(AUTOEVENTO="Manual",$M106=1),0,IF(OFFSET(CRONOPLE!$F$14,$M106,AV$13)="",10^12,OFFSET(CRONOPLE!$F$14,$M106,AV$13))))</f>
        <v>1000000000000</v>
      </c>
      <c r="AX106" s="182">
        <f ca="1">IF($D106&lt;&gt;"Serviço",0,IF(OR(AND(AUTOEVENTO="Manual",$M106=1),$M106&gt;(ROW(PLE.lastrow)-ROW(PLE.firstrow))),0,IF(OFFSET(PLE!$G$14,$M106,AX$13)="",10^12,OFFSET(PLE!$G$14,$M106,AX$13))))</f>
        <v>1000000000000</v>
      </c>
      <c r="AY106" s="182">
        <f ca="1">IF($D106&lt;&gt;"Serviço",0,IF(OR(AND(AUTOEVENTO="Manual",$M106=1),$M106&gt;(ROW(PLE.lastrow)-ROW(PLE.firstrow))),0,IF(OFFSET(PLE!$G$14,$M106,AY$13)="",10^12,OFFSET(PLE!$G$14,$M106,AY$13))))</f>
        <v>1000000000000</v>
      </c>
      <c r="AZ106" s="182">
        <f ca="1">IF($D106&lt;&gt;"Serviço",0,IF(OR(AND(AUTOEVENTO="Manual",$M106=1),$M106&gt;(ROW(PLE.lastrow)-ROW(PLE.firstrow))),0,IF(OFFSET(PLE!$G$14,$M106,AZ$13)="",10^12,OFFSET(PLE!$G$14,$M106,AZ$13))))</f>
        <v>1000000000000</v>
      </c>
      <c r="BA106" s="182">
        <f ca="1">IF($D106&lt;&gt;"Serviço",0,IF(OR(AND(AUTOEVENTO="Manual",$M106=1),$M106&gt;(ROW(PLE.lastrow)-ROW(PLE.firstrow))),0,IF(OFFSET(PLE!$G$14,$M106,BA$13)="",10^12,OFFSET(PLE!$G$14,$M106,BA$13))))</f>
        <v>1000000000000</v>
      </c>
      <c r="BB106" s="182">
        <f ca="1">IF($D106&lt;&gt;"Serviço",0,IF(OR(AND(AUTOEVENTO="Manual",$M106=1),$M106&gt;(ROW(PLE.lastrow)-ROW(PLE.firstrow))),0,IF(OFFSET(PLE!$G$14,$M106,BB$13)="",10^12,OFFSET(PLE!$G$14,$M106,BB$13))))</f>
        <v>1000000000000</v>
      </c>
      <c r="BC106" s="182">
        <f ca="1">IF($D106&lt;&gt;"Serviço",0,IF(OR(AND(AUTOEVENTO="Manual",$M106=1),$M106&gt;(ROW(PLE.lastrow)-ROW(PLE.firstrow))),0,IF(OFFSET(PLE!$G$14,$M106,BC$13)="",10^12,OFFSET(PLE!$G$14,$M106,BC$13))))</f>
        <v>1000000000000</v>
      </c>
      <c r="BD106" s="182">
        <f ca="1">IF($D106&lt;&gt;"Serviço",0,IF(OR(AND(AUTOEVENTO="Manual",$M106=1),$M106&gt;(ROW(PLE.lastrow)-ROW(PLE.firstrow))),0,IF(OFFSET(PLE!$G$14,$M106,BD$13)="",10^12,OFFSET(PLE!$G$14,$M106,BD$13))))</f>
        <v>1000000000000</v>
      </c>
      <c r="BE106" s="182">
        <f ca="1">IF($D106&lt;&gt;"Serviço",0,IF(OR(AND(AUTOEVENTO="Manual",$M106=1),$M106&gt;(ROW(PLE.lastrow)-ROW(PLE.firstrow))),0,IF(OFFSET(PLE!$G$14,$M106,BE$13)="",10^12,OFFSET(PLE!$G$14,$M106,BE$13))))</f>
        <v>1000000000000</v>
      </c>
      <c r="BF106" s="182">
        <f ca="1">IF($D106&lt;&gt;"Serviço",0,IF(OR(AND(AUTOEVENTO="Manual",$M106=1),$M106&gt;(ROW(PLE.lastrow)-ROW(PLE.firstrow))),0,IF(OFFSET(PLE!$G$14,$M106,BF$13)="",10^12,OFFSET(PLE!$G$14,$M106,BF$13))))</f>
        <v>1000000000000</v>
      </c>
      <c r="BG106" s="182">
        <f ca="1">IF($D106&lt;&gt;"Serviço",0,IF(OR(AND(AUTOEVENTO="Manual",$M106=1),$M106&gt;(ROW(PLE.lastrow)-ROW(PLE.firstrow))),0,IF(OFFSET(PLE!$G$14,$M106,BG$13)="",10^12,OFFSET(PLE!$G$14,$M106,BG$13))))</f>
        <v>1000000000000</v>
      </c>
    </row>
    <row r="107" spans="1:59" ht="12.75" x14ac:dyDescent="0.2">
      <c r="A107" s="7" t="str">
        <f t="shared" ca="1" si="10"/>
        <v>89</v>
      </c>
      <c r="B107" s="7" t="str">
        <f ca="1">OFFSET(ORÇAMENTO!C$15,ROW(B107)-ROW(B$15),0)</f>
        <v>S</v>
      </c>
      <c r="C107" s="7" t="str">
        <f ca="1">OFFSET(ORÇAMENTO!L$15,ROW(C107)-ROW(C$15),0)</f>
        <v>F</v>
      </c>
      <c r="D107" s="118" t="str">
        <f ca="1">OFFSET(ORÇAMENTO!N$15,ROW(D107)-ROW(D$15),0)</f>
        <v>Serviço</v>
      </c>
      <c r="E107" s="119" t="str">
        <f ca="1">OFFSET(ORÇAMENTO!O$15,ROW(E107)-ROW(E$15),0)</f>
        <v>3.4.3.</v>
      </c>
      <c r="F107" s="172" t="str">
        <f ca="1">OFFSET(ORÇAMENTO!R$15,ROW(F107)-ROW(F$15),0)</f>
        <v>Concreto asfáltico - faixa C-12,5 - areia e brita comerciais</v>
      </c>
      <c r="G107" s="173" t="str">
        <f ca="1">IF($D107&lt;&gt;"Serviço","",OFFSET(ORÇAMENTO!S$15,ROW(G107)-ROW(G$15),0))</f>
        <v>t</v>
      </c>
      <c r="H107" s="124">
        <f ca="1">IF($D107&lt;&gt;"Serviço",0,IF(ACOMPANHAMENTO="BM",ROUND(OFFSET(ORÇAMENTO!AJ$15,ROW(H107)-ROW(H$15),0),15-13*ORÇAMENTO!$AF$7),SUMPRODUCT(($Q$12:$AA$12&lt;&gt;"")*ROUND($Q107:$AA107,15-13*ORÇAMENTO!$AF$7))))</f>
        <v>391.68</v>
      </c>
      <c r="I107" s="561"/>
      <c r="K107" s="174"/>
      <c r="L107" s="175" t="s">
        <v>255</v>
      </c>
      <c r="M107" s="176">
        <f ca="1">IF($D107&lt;&gt;"Serviço","",IF(AUTOEVENTO="manual",$A107,IF(ISERROR(MATCH($A107,$A$15:OFFSET($A107,-1,0),0)),MAX($M$15:OFFSET(M107,-1,0))+1,INDEX($M$15:OFFSET(M107,-1,0),MATCH($A107,$A$15:OFFSET($A107,-1,0),0)))))</f>
        <v>15</v>
      </c>
      <c r="N107" s="177" t="str">
        <f ca="1">IF($D107&lt;&gt;"Serviço","",IF(AUTOEVENTO="Manual",IF($A107=0,"&lt;-- defina o número do agrupador",OFFSET(EVENTOS!$D$14,$A107,0)),OFFSET($F$15,$A107,0)))</f>
        <v>PAVIMENTAÇÃO</v>
      </c>
      <c r="O107" s="178"/>
      <c r="Q107" s="178"/>
      <c r="R107" s="179"/>
      <c r="S107" s="179"/>
      <c r="T107" s="179"/>
      <c r="U107" s="179"/>
      <c r="V107" s="179"/>
      <c r="W107" s="179"/>
      <c r="X107" s="179"/>
      <c r="Y107" s="179"/>
      <c r="Z107" s="180"/>
      <c r="AB107" s="544">
        <f ca="1">IF(AND($D107="Serviço",AB$12&lt;&gt;0,$H107&gt;0,OR(AUTOEVENTO&lt;&gt;"manual",$M107&lt;&gt;1)), IF(Import.TipoArredondamento&lt;&gt;"TransfereGOV", ROUND(OFFSET($P107,0,AB$13),15-13*ORÇAMENTO!$AF$7)/$H107*OFFSET(ORÇAMENTO!$X$15,ROW(AB107)-ROW(AB$15),0), ROUND(ROUND(OFFSET($P107,0,AB$13),15-13*ORÇAMENTO!$AF$7)*OFFSET(ORÇAMENTO!$W$15,ROW(AB107)-ROW(AB$15),0),15-13*ORÇAMENTO!$AF$11)),0)</f>
        <v>0</v>
      </c>
      <c r="AC107" s="545">
        <f ca="1">IF(AND($D107="Serviço",AC$12&lt;&gt;0,$H107&gt;0,OR(AUTOEVENTO&lt;&gt;"manual",$M107&lt;&gt;1)), IF(Import.TipoArredondamento&lt;&gt;"TransfereGOV", ROUND(OFFSET($P107,0,AC$13),15-13*ORÇAMENTO!$AF$7)/$H107*OFFSET(ORÇAMENTO!$X$15,ROW(AC107)-ROW(AC$15),0), ROUND(ROUND(OFFSET($P107,0,AC$13),15-13*ORÇAMENTO!$AF$7)*OFFSET(ORÇAMENTO!$W$15,ROW(AC107)-ROW(AC$15),0),15-13*ORÇAMENTO!$AF$11)),0)</f>
        <v>0</v>
      </c>
      <c r="AD107" s="545">
        <f ca="1">IF(AND($D107="Serviço",AD$12&lt;&gt;0,$H107&gt;0,OR(AUTOEVENTO&lt;&gt;"manual",$M107&lt;&gt;1)), IF(Import.TipoArredondamento&lt;&gt;"TransfereGOV", ROUND(OFFSET($P107,0,AD$13),15-13*ORÇAMENTO!$AF$7)/$H107*OFFSET(ORÇAMENTO!$X$15,ROW(AD107)-ROW(AD$15),0), ROUND(ROUND(OFFSET($P107,0,AD$13),15-13*ORÇAMENTO!$AF$7)*OFFSET(ORÇAMENTO!$W$15,ROW(AD107)-ROW(AD$15),0),15-13*ORÇAMENTO!$AF$11)),0)</f>
        <v>0</v>
      </c>
      <c r="AE107" s="545">
        <f ca="1">IF(AND($D107="Serviço",AE$12&lt;&gt;0,$H107&gt;0,OR(AUTOEVENTO&lt;&gt;"manual",$M107&lt;&gt;1)), IF(Import.TipoArredondamento&lt;&gt;"TransfereGOV", ROUND(OFFSET($P107,0,AE$13),15-13*ORÇAMENTO!$AF$7)/$H107*OFFSET(ORÇAMENTO!$X$15,ROW(AE107)-ROW(AE$15),0), ROUND(ROUND(OFFSET($P107,0,AE$13),15-13*ORÇAMENTO!$AF$7)*OFFSET(ORÇAMENTO!$W$15,ROW(AE107)-ROW(AE$15),0),15-13*ORÇAMENTO!$AF$11)),0)</f>
        <v>0</v>
      </c>
      <c r="AF107" s="545">
        <f ca="1">IF(AND($D107="Serviço",AF$12&lt;&gt;0,$H107&gt;0,OR(AUTOEVENTO&lt;&gt;"manual",$M107&lt;&gt;1)), IF(Import.TipoArredondamento&lt;&gt;"TransfereGOV", ROUND(OFFSET($P107,0,AF$13),15-13*ORÇAMENTO!$AF$7)/$H107*OFFSET(ORÇAMENTO!$X$15,ROW(AF107)-ROW(AF$15),0), ROUND(ROUND(OFFSET($P107,0,AF$13),15-13*ORÇAMENTO!$AF$7)*OFFSET(ORÇAMENTO!$W$15,ROW(AF107)-ROW(AF$15),0),15-13*ORÇAMENTO!$AF$11)),0)</f>
        <v>0</v>
      </c>
      <c r="AG107" s="545">
        <f ca="1">IF(AND($D107="Serviço",AG$12&lt;&gt;0,$H107&gt;0,OR(AUTOEVENTO&lt;&gt;"manual",$M107&lt;&gt;1)), IF(Import.TipoArredondamento&lt;&gt;"TransfereGOV", ROUND(OFFSET($P107,0,AG$13),15-13*ORÇAMENTO!$AF$7)/$H107*OFFSET(ORÇAMENTO!$X$15,ROW(AG107)-ROW(AG$15),0), ROUND(ROUND(OFFSET($P107,0,AG$13),15-13*ORÇAMENTO!$AF$7)*OFFSET(ORÇAMENTO!$W$15,ROW(AG107)-ROW(AG$15),0),15-13*ORÇAMENTO!$AF$11)),0)</f>
        <v>0</v>
      </c>
      <c r="AH107" s="545">
        <f ca="1">IF(AND($D107="Serviço",AH$12&lt;&gt;0,$H107&gt;0,OR(AUTOEVENTO&lt;&gt;"manual",$M107&lt;&gt;1)), IF(Import.TipoArredondamento&lt;&gt;"TransfereGOV", ROUND(OFFSET($P107,0,AH$13),15-13*ORÇAMENTO!$AF$7)/$H107*OFFSET(ORÇAMENTO!$X$15,ROW(AH107)-ROW(AH$15),0), ROUND(ROUND(OFFSET($P107,0,AH$13),15-13*ORÇAMENTO!$AF$7)*OFFSET(ORÇAMENTO!$W$15,ROW(AH107)-ROW(AH$15),0),15-13*ORÇAMENTO!$AF$11)),0)</f>
        <v>0</v>
      </c>
      <c r="AI107" s="545">
        <f ca="1">IF(AND($D107="Serviço",AI$12&lt;&gt;0,$H107&gt;0,OR(AUTOEVENTO&lt;&gt;"manual",$M107&lt;&gt;1)), IF(Import.TipoArredondamento&lt;&gt;"TransfereGOV", ROUND(OFFSET($P107,0,AI$13),15-13*ORÇAMENTO!$AF$7)/$H107*OFFSET(ORÇAMENTO!$X$15,ROW(AI107)-ROW(AI$15),0), ROUND(ROUND(OFFSET($P107,0,AI$13),15-13*ORÇAMENTO!$AF$7)*OFFSET(ORÇAMENTO!$W$15,ROW(AI107)-ROW(AI$15),0),15-13*ORÇAMENTO!$AF$11)),0)</f>
        <v>0</v>
      </c>
      <c r="AJ107" s="545">
        <f ca="1">IF(AND($D107="Serviço",AJ$12&lt;&gt;0,$H107&gt;0,OR(AUTOEVENTO&lt;&gt;"manual",$M107&lt;&gt;1)), IF(Import.TipoArredondamento&lt;&gt;"TransfereGOV", ROUND(OFFSET($P107,0,AJ$13),15-13*ORÇAMENTO!$AF$7)/$H107*OFFSET(ORÇAMENTO!$X$15,ROW(AJ107)-ROW(AJ$15),0), ROUND(ROUND(OFFSET($P107,0,AJ$13),15-13*ORÇAMENTO!$AF$7)*OFFSET(ORÇAMENTO!$W$15,ROW(AJ107)-ROW(AJ$15),0),15-13*ORÇAMENTO!$AF$11)),0)</f>
        <v>0</v>
      </c>
      <c r="AK107" s="546">
        <f ca="1">IF(AND($D107="Serviço",AK$12&lt;&gt;0,$H107&gt;0,OR(AUTOEVENTO&lt;&gt;"manual",$M107&lt;&gt;1)), IF(Import.TipoArredondamento&lt;&gt;"TransfereGOV", ROUND(OFFSET($P107,0,AK$13),15-13*ORÇAMENTO!$AF$7)/$H107*OFFSET(ORÇAMENTO!$X$15,ROW(AK107)-ROW(AK$15),0), ROUND(ROUND(OFFSET($P107,0,AK$13),15-13*ORÇAMENTO!$AF$7)*OFFSET(ORÇAMENTO!$W$15,ROW(AK107)-ROW(AK$15),0),15-13*ORÇAMENTO!$AF$11)),0)</f>
        <v>0</v>
      </c>
      <c r="AM107" s="181">
        <f ca="1">IF($D107&lt;&gt;"Serviço",0,IF(AND(AUTOEVENTO="Manual",$M107=1),0,IF(OFFSET(CRONOPLE!$F$14,$M107,AM$13)="",10^12,OFFSET(CRONOPLE!$F$14,$M107,AM$13))))</f>
        <v>1000000000000</v>
      </c>
      <c r="AN107" s="181">
        <f ca="1">IF($D107&lt;&gt;"Serviço",0,IF(AND(AUTOEVENTO="Manual",$M107=1),0,IF(OFFSET(CRONOPLE!$F$14,$M107,AN$13)="",10^12,OFFSET(CRONOPLE!$F$14,$M107,AN$13))))</f>
        <v>1000000000000</v>
      </c>
      <c r="AO107" s="181">
        <f ca="1">IF($D107&lt;&gt;"Serviço",0,IF(AND(AUTOEVENTO="Manual",$M107=1),0,IF(OFFSET(CRONOPLE!$F$14,$M107,AO$13)="",10^12,OFFSET(CRONOPLE!$F$14,$M107,AO$13))))</f>
        <v>1000000000000</v>
      </c>
      <c r="AP107" s="181">
        <f ca="1">IF($D107&lt;&gt;"Serviço",0,IF(AND(AUTOEVENTO="Manual",$M107=1),0,IF(OFFSET(CRONOPLE!$F$14,$M107,AP$13)="",10^12,OFFSET(CRONOPLE!$F$14,$M107,AP$13))))</f>
        <v>1000000000000</v>
      </c>
      <c r="AQ107" s="181">
        <f ca="1">IF($D107&lt;&gt;"Serviço",0,IF(AND(AUTOEVENTO="Manual",$M107=1),0,IF(OFFSET(CRONOPLE!$F$14,$M107,AQ$13)="",10^12,OFFSET(CRONOPLE!$F$14,$M107,AQ$13))))</f>
        <v>1000000000000</v>
      </c>
      <c r="AR107" s="181">
        <f ca="1">IF($D107&lt;&gt;"Serviço",0,IF(AND(AUTOEVENTO="Manual",$M107=1),0,IF(OFFSET(CRONOPLE!$F$14,$M107,AR$13)="",10^12,OFFSET(CRONOPLE!$F$14,$M107,AR$13))))</f>
        <v>1000000000000</v>
      </c>
      <c r="AS107" s="181">
        <f ca="1">IF($D107&lt;&gt;"Serviço",0,IF(AND(AUTOEVENTO="Manual",$M107=1),0,IF(OFFSET(CRONOPLE!$F$14,$M107,AS$13)="",10^12,OFFSET(CRONOPLE!$F$14,$M107,AS$13))))</f>
        <v>1000000000000</v>
      </c>
      <c r="AT107" s="181">
        <f ca="1">IF($D107&lt;&gt;"Serviço",0,IF(AND(AUTOEVENTO="Manual",$M107=1),0,IF(OFFSET(CRONOPLE!$F$14,$M107,AT$13)="",10^12,OFFSET(CRONOPLE!$F$14,$M107,AT$13))))</f>
        <v>1000000000000</v>
      </c>
      <c r="AU107" s="181">
        <f ca="1">IF($D107&lt;&gt;"Serviço",0,IF(AND(AUTOEVENTO="Manual",$M107=1),0,IF(OFFSET(CRONOPLE!$F$14,$M107,AU$13)="",10^12,OFFSET(CRONOPLE!$F$14,$M107,AU$13))))</f>
        <v>1000000000000</v>
      </c>
      <c r="AV107" s="181">
        <f ca="1">IF($D107&lt;&gt;"Serviço",0,IF(AND(AUTOEVENTO="Manual",$M107=1),0,IF(OFFSET(CRONOPLE!$F$14,$M107,AV$13)="",10^12,OFFSET(CRONOPLE!$F$14,$M107,AV$13))))</f>
        <v>1000000000000</v>
      </c>
      <c r="AX107" s="182">
        <f ca="1">IF($D107&lt;&gt;"Serviço",0,IF(OR(AND(AUTOEVENTO="Manual",$M107=1),$M107&gt;(ROW(PLE.lastrow)-ROW(PLE.firstrow))),0,IF(OFFSET(PLE!$G$14,$M107,AX$13)="",10^12,OFFSET(PLE!$G$14,$M107,AX$13))))</f>
        <v>1000000000000</v>
      </c>
      <c r="AY107" s="182">
        <f ca="1">IF($D107&lt;&gt;"Serviço",0,IF(OR(AND(AUTOEVENTO="Manual",$M107=1),$M107&gt;(ROW(PLE.lastrow)-ROW(PLE.firstrow))),0,IF(OFFSET(PLE!$G$14,$M107,AY$13)="",10^12,OFFSET(PLE!$G$14,$M107,AY$13))))</f>
        <v>1000000000000</v>
      </c>
      <c r="AZ107" s="182">
        <f ca="1">IF($D107&lt;&gt;"Serviço",0,IF(OR(AND(AUTOEVENTO="Manual",$M107=1),$M107&gt;(ROW(PLE.lastrow)-ROW(PLE.firstrow))),0,IF(OFFSET(PLE!$G$14,$M107,AZ$13)="",10^12,OFFSET(PLE!$G$14,$M107,AZ$13))))</f>
        <v>1000000000000</v>
      </c>
      <c r="BA107" s="182">
        <f ca="1">IF($D107&lt;&gt;"Serviço",0,IF(OR(AND(AUTOEVENTO="Manual",$M107=1),$M107&gt;(ROW(PLE.lastrow)-ROW(PLE.firstrow))),0,IF(OFFSET(PLE!$G$14,$M107,BA$13)="",10^12,OFFSET(PLE!$G$14,$M107,BA$13))))</f>
        <v>1000000000000</v>
      </c>
      <c r="BB107" s="182">
        <f ca="1">IF($D107&lt;&gt;"Serviço",0,IF(OR(AND(AUTOEVENTO="Manual",$M107=1),$M107&gt;(ROW(PLE.lastrow)-ROW(PLE.firstrow))),0,IF(OFFSET(PLE!$G$14,$M107,BB$13)="",10^12,OFFSET(PLE!$G$14,$M107,BB$13))))</f>
        <v>1000000000000</v>
      </c>
      <c r="BC107" s="182">
        <f ca="1">IF($D107&lt;&gt;"Serviço",0,IF(OR(AND(AUTOEVENTO="Manual",$M107=1),$M107&gt;(ROW(PLE.lastrow)-ROW(PLE.firstrow))),0,IF(OFFSET(PLE!$G$14,$M107,BC$13)="",10^12,OFFSET(PLE!$G$14,$M107,BC$13))))</f>
        <v>1000000000000</v>
      </c>
      <c r="BD107" s="182">
        <f ca="1">IF($D107&lt;&gt;"Serviço",0,IF(OR(AND(AUTOEVENTO="Manual",$M107=1),$M107&gt;(ROW(PLE.lastrow)-ROW(PLE.firstrow))),0,IF(OFFSET(PLE!$G$14,$M107,BD$13)="",10^12,OFFSET(PLE!$G$14,$M107,BD$13))))</f>
        <v>1000000000000</v>
      </c>
      <c r="BE107" s="182">
        <f ca="1">IF($D107&lt;&gt;"Serviço",0,IF(OR(AND(AUTOEVENTO="Manual",$M107=1),$M107&gt;(ROW(PLE.lastrow)-ROW(PLE.firstrow))),0,IF(OFFSET(PLE!$G$14,$M107,BE$13)="",10^12,OFFSET(PLE!$G$14,$M107,BE$13))))</f>
        <v>1000000000000</v>
      </c>
      <c r="BF107" s="182">
        <f ca="1">IF($D107&lt;&gt;"Serviço",0,IF(OR(AND(AUTOEVENTO="Manual",$M107=1),$M107&gt;(ROW(PLE.lastrow)-ROW(PLE.firstrow))),0,IF(OFFSET(PLE!$G$14,$M107,BF$13)="",10^12,OFFSET(PLE!$G$14,$M107,BF$13))))</f>
        <v>1000000000000</v>
      </c>
      <c r="BG107" s="182">
        <f ca="1">IF($D107&lt;&gt;"Serviço",0,IF(OR(AND(AUTOEVENTO="Manual",$M107=1),$M107&gt;(ROW(PLE.lastrow)-ROW(PLE.firstrow))),0,IF(OFFSET(PLE!$G$14,$M107,BG$13)="",10^12,OFFSET(PLE!$G$14,$M107,BG$13))))</f>
        <v>1000000000000</v>
      </c>
    </row>
    <row r="108" spans="1:59" ht="12.75" x14ac:dyDescent="0.2">
      <c r="A108" s="7" t="str">
        <f t="shared" ca="1" si="10"/>
        <v>89</v>
      </c>
      <c r="B108" s="7" t="str">
        <f ca="1">OFFSET(ORÇAMENTO!C$15,ROW(B108)-ROW(B$15),0)</f>
        <v>S</v>
      </c>
      <c r="C108" s="7" t="str">
        <f ca="1">OFFSET(ORÇAMENTO!L$15,ROW(C108)-ROW(C$15),0)</f>
        <v>F</v>
      </c>
      <c r="D108" s="118" t="str">
        <f ca="1">OFFSET(ORÇAMENTO!N$15,ROW(D108)-ROW(D$15),0)</f>
        <v>Serviço</v>
      </c>
      <c r="E108" s="119" t="str">
        <f ca="1">OFFSET(ORÇAMENTO!O$15,ROW(E108)-ROW(E$15),0)</f>
        <v>3.4.4.</v>
      </c>
      <c r="F108" s="172" t="str">
        <f ca="1">OFFSET(ORÇAMENTO!R$15,ROW(F108)-ROW(F$15),0)</f>
        <v>Transporte com caminhão basculante de 10 m³ - rodovia pavimentada</v>
      </c>
      <c r="G108" s="173" t="str">
        <f ca="1">IF($D108&lt;&gt;"Serviço","",OFFSET(ORÇAMENTO!S$15,ROW(G108)-ROW(G$15),0))</f>
        <v>tkm</v>
      </c>
      <c r="H108" s="124">
        <f ca="1">IF($D108&lt;&gt;"Serviço",0,IF(ACOMPANHAMENTO="BM",ROUND(OFFSET(ORÇAMENTO!AJ$15,ROW(H108)-ROW(H$15),0),15-13*ORÇAMENTO!$AF$7),SUMPRODUCT(($Q$12:$AA$12&lt;&gt;"")*ROUND($Q108:$AA108,15-13*ORÇAMENTO!$AF$7))))</f>
        <v>11750.44</v>
      </c>
      <c r="I108" s="561"/>
      <c r="K108" s="174"/>
      <c r="L108" s="175" t="s">
        <v>255</v>
      </c>
      <c r="M108" s="176">
        <f ca="1">IF($D108&lt;&gt;"Serviço","",IF(AUTOEVENTO="manual",$A108,IF(ISERROR(MATCH($A108,$A$15:OFFSET($A108,-1,0),0)),MAX($M$15:OFFSET(M108,-1,0))+1,INDEX($M$15:OFFSET(M108,-1,0),MATCH($A108,$A$15:OFFSET($A108,-1,0),0)))))</f>
        <v>15</v>
      </c>
      <c r="N108" s="177" t="str">
        <f ca="1">IF($D108&lt;&gt;"Serviço","",IF(AUTOEVENTO="Manual",IF($A108=0,"&lt;-- defina o número do agrupador",OFFSET(EVENTOS!$D$14,$A108,0)),OFFSET($F$15,$A108,0)))</f>
        <v>PAVIMENTAÇÃO</v>
      </c>
      <c r="O108" s="178"/>
      <c r="Q108" s="178"/>
      <c r="R108" s="179"/>
      <c r="S108" s="179"/>
      <c r="T108" s="179"/>
      <c r="U108" s="179"/>
      <c r="V108" s="179"/>
      <c r="W108" s="179"/>
      <c r="X108" s="179"/>
      <c r="Y108" s="179"/>
      <c r="Z108" s="180"/>
      <c r="AB108" s="544">
        <f ca="1">IF(AND($D108="Serviço",AB$12&lt;&gt;0,$H108&gt;0,OR(AUTOEVENTO&lt;&gt;"manual",$M108&lt;&gt;1)), IF(Import.TipoArredondamento&lt;&gt;"TransfereGOV", ROUND(OFFSET($P108,0,AB$13),15-13*ORÇAMENTO!$AF$7)/$H108*OFFSET(ORÇAMENTO!$X$15,ROW(AB108)-ROW(AB$15),0), ROUND(ROUND(OFFSET($P108,0,AB$13),15-13*ORÇAMENTO!$AF$7)*OFFSET(ORÇAMENTO!$W$15,ROW(AB108)-ROW(AB$15),0),15-13*ORÇAMENTO!$AF$11)),0)</f>
        <v>0</v>
      </c>
      <c r="AC108" s="545">
        <f ca="1">IF(AND($D108="Serviço",AC$12&lt;&gt;0,$H108&gt;0,OR(AUTOEVENTO&lt;&gt;"manual",$M108&lt;&gt;1)), IF(Import.TipoArredondamento&lt;&gt;"TransfereGOV", ROUND(OFFSET($P108,0,AC$13),15-13*ORÇAMENTO!$AF$7)/$H108*OFFSET(ORÇAMENTO!$X$15,ROW(AC108)-ROW(AC$15),0), ROUND(ROUND(OFFSET($P108,0,AC$13),15-13*ORÇAMENTO!$AF$7)*OFFSET(ORÇAMENTO!$W$15,ROW(AC108)-ROW(AC$15),0),15-13*ORÇAMENTO!$AF$11)),0)</f>
        <v>0</v>
      </c>
      <c r="AD108" s="545">
        <f ca="1">IF(AND($D108="Serviço",AD$12&lt;&gt;0,$H108&gt;0,OR(AUTOEVENTO&lt;&gt;"manual",$M108&lt;&gt;1)), IF(Import.TipoArredondamento&lt;&gt;"TransfereGOV", ROUND(OFFSET($P108,0,AD$13),15-13*ORÇAMENTO!$AF$7)/$H108*OFFSET(ORÇAMENTO!$X$15,ROW(AD108)-ROW(AD$15),0), ROUND(ROUND(OFFSET($P108,0,AD$13),15-13*ORÇAMENTO!$AF$7)*OFFSET(ORÇAMENTO!$W$15,ROW(AD108)-ROW(AD$15),0),15-13*ORÇAMENTO!$AF$11)),0)</f>
        <v>0</v>
      </c>
      <c r="AE108" s="545">
        <f ca="1">IF(AND($D108="Serviço",AE$12&lt;&gt;0,$H108&gt;0,OR(AUTOEVENTO&lt;&gt;"manual",$M108&lt;&gt;1)), IF(Import.TipoArredondamento&lt;&gt;"TransfereGOV", ROUND(OFFSET($P108,0,AE$13),15-13*ORÇAMENTO!$AF$7)/$H108*OFFSET(ORÇAMENTO!$X$15,ROW(AE108)-ROW(AE$15),0), ROUND(ROUND(OFFSET($P108,0,AE$13),15-13*ORÇAMENTO!$AF$7)*OFFSET(ORÇAMENTO!$W$15,ROW(AE108)-ROW(AE$15),0),15-13*ORÇAMENTO!$AF$11)),0)</f>
        <v>0</v>
      </c>
      <c r="AF108" s="545">
        <f ca="1">IF(AND($D108="Serviço",AF$12&lt;&gt;0,$H108&gt;0,OR(AUTOEVENTO&lt;&gt;"manual",$M108&lt;&gt;1)), IF(Import.TipoArredondamento&lt;&gt;"TransfereGOV", ROUND(OFFSET($P108,0,AF$13),15-13*ORÇAMENTO!$AF$7)/$H108*OFFSET(ORÇAMENTO!$X$15,ROW(AF108)-ROW(AF$15),0), ROUND(ROUND(OFFSET($P108,0,AF$13),15-13*ORÇAMENTO!$AF$7)*OFFSET(ORÇAMENTO!$W$15,ROW(AF108)-ROW(AF$15),0),15-13*ORÇAMENTO!$AF$11)),0)</f>
        <v>0</v>
      </c>
      <c r="AG108" s="545">
        <f ca="1">IF(AND($D108="Serviço",AG$12&lt;&gt;0,$H108&gt;0,OR(AUTOEVENTO&lt;&gt;"manual",$M108&lt;&gt;1)), IF(Import.TipoArredondamento&lt;&gt;"TransfereGOV", ROUND(OFFSET($P108,0,AG$13),15-13*ORÇAMENTO!$AF$7)/$H108*OFFSET(ORÇAMENTO!$X$15,ROW(AG108)-ROW(AG$15),0), ROUND(ROUND(OFFSET($P108,0,AG$13),15-13*ORÇAMENTO!$AF$7)*OFFSET(ORÇAMENTO!$W$15,ROW(AG108)-ROW(AG$15),0),15-13*ORÇAMENTO!$AF$11)),0)</f>
        <v>0</v>
      </c>
      <c r="AH108" s="545">
        <f ca="1">IF(AND($D108="Serviço",AH$12&lt;&gt;0,$H108&gt;0,OR(AUTOEVENTO&lt;&gt;"manual",$M108&lt;&gt;1)), IF(Import.TipoArredondamento&lt;&gt;"TransfereGOV", ROUND(OFFSET($P108,0,AH$13),15-13*ORÇAMENTO!$AF$7)/$H108*OFFSET(ORÇAMENTO!$X$15,ROW(AH108)-ROW(AH$15),0), ROUND(ROUND(OFFSET($P108,0,AH$13),15-13*ORÇAMENTO!$AF$7)*OFFSET(ORÇAMENTO!$W$15,ROW(AH108)-ROW(AH$15),0),15-13*ORÇAMENTO!$AF$11)),0)</f>
        <v>0</v>
      </c>
      <c r="AI108" s="545">
        <f ca="1">IF(AND($D108="Serviço",AI$12&lt;&gt;0,$H108&gt;0,OR(AUTOEVENTO&lt;&gt;"manual",$M108&lt;&gt;1)), IF(Import.TipoArredondamento&lt;&gt;"TransfereGOV", ROUND(OFFSET($P108,0,AI$13),15-13*ORÇAMENTO!$AF$7)/$H108*OFFSET(ORÇAMENTO!$X$15,ROW(AI108)-ROW(AI$15),0), ROUND(ROUND(OFFSET($P108,0,AI$13),15-13*ORÇAMENTO!$AF$7)*OFFSET(ORÇAMENTO!$W$15,ROW(AI108)-ROW(AI$15),0),15-13*ORÇAMENTO!$AF$11)),0)</f>
        <v>0</v>
      </c>
      <c r="AJ108" s="545">
        <f ca="1">IF(AND($D108="Serviço",AJ$12&lt;&gt;0,$H108&gt;0,OR(AUTOEVENTO&lt;&gt;"manual",$M108&lt;&gt;1)), IF(Import.TipoArredondamento&lt;&gt;"TransfereGOV", ROUND(OFFSET($P108,0,AJ$13),15-13*ORÇAMENTO!$AF$7)/$H108*OFFSET(ORÇAMENTO!$X$15,ROW(AJ108)-ROW(AJ$15),0), ROUND(ROUND(OFFSET($P108,0,AJ$13),15-13*ORÇAMENTO!$AF$7)*OFFSET(ORÇAMENTO!$W$15,ROW(AJ108)-ROW(AJ$15),0),15-13*ORÇAMENTO!$AF$11)),0)</f>
        <v>0</v>
      </c>
      <c r="AK108" s="546">
        <f ca="1">IF(AND($D108="Serviço",AK$12&lt;&gt;0,$H108&gt;0,OR(AUTOEVENTO&lt;&gt;"manual",$M108&lt;&gt;1)), IF(Import.TipoArredondamento&lt;&gt;"TransfereGOV", ROUND(OFFSET($P108,0,AK$13),15-13*ORÇAMENTO!$AF$7)/$H108*OFFSET(ORÇAMENTO!$X$15,ROW(AK108)-ROW(AK$15),0), ROUND(ROUND(OFFSET($P108,0,AK$13),15-13*ORÇAMENTO!$AF$7)*OFFSET(ORÇAMENTO!$W$15,ROW(AK108)-ROW(AK$15),0),15-13*ORÇAMENTO!$AF$11)),0)</f>
        <v>0</v>
      </c>
      <c r="AM108" s="181">
        <f ca="1">IF($D108&lt;&gt;"Serviço",0,IF(AND(AUTOEVENTO="Manual",$M108=1),0,IF(OFFSET(CRONOPLE!$F$14,$M108,AM$13)="",10^12,OFFSET(CRONOPLE!$F$14,$M108,AM$13))))</f>
        <v>1000000000000</v>
      </c>
      <c r="AN108" s="181">
        <f ca="1">IF($D108&lt;&gt;"Serviço",0,IF(AND(AUTOEVENTO="Manual",$M108=1),0,IF(OFFSET(CRONOPLE!$F$14,$M108,AN$13)="",10^12,OFFSET(CRONOPLE!$F$14,$M108,AN$13))))</f>
        <v>1000000000000</v>
      </c>
      <c r="AO108" s="181">
        <f ca="1">IF($D108&lt;&gt;"Serviço",0,IF(AND(AUTOEVENTO="Manual",$M108=1),0,IF(OFFSET(CRONOPLE!$F$14,$M108,AO$13)="",10^12,OFFSET(CRONOPLE!$F$14,$M108,AO$13))))</f>
        <v>1000000000000</v>
      </c>
      <c r="AP108" s="181">
        <f ca="1">IF($D108&lt;&gt;"Serviço",0,IF(AND(AUTOEVENTO="Manual",$M108=1),0,IF(OFFSET(CRONOPLE!$F$14,$M108,AP$13)="",10^12,OFFSET(CRONOPLE!$F$14,$M108,AP$13))))</f>
        <v>1000000000000</v>
      </c>
      <c r="AQ108" s="181">
        <f ca="1">IF($D108&lt;&gt;"Serviço",0,IF(AND(AUTOEVENTO="Manual",$M108=1),0,IF(OFFSET(CRONOPLE!$F$14,$M108,AQ$13)="",10^12,OFFSET(CRONOPLE!$F$14,$M108,AQ$13))))</f>
        <v>1000000000000</v>
      </c>
      <c r="AR108" s="181">
        <f ca="1">IF($D108&lt;&gt;"Serviço",0,IF(AND(AUTOEVENTO="Manual",$M108=1),0,IF(OFFSET(CRONOPLE!$F$14,$M108,AR$13)="",10^12,OFFSET(CRONOPLE!$F$14,$M108,AR$13))))</f>
        <v>1000000000000</v>
      </c>
      <c r="AS108" s="181">
        <f ca="1">IF($D108&lt;&gt;"Serviço",0,IF(AND(AUTOEVENTO="Manual",$M108=1),0,IF(OFFSET(CRONOPLE!$F$14,$M108,AS$13)="",10^12,OFFSET(CRONOPLE!$F$14,$M108,AS$13))))</f>
        <v>1000000000000</v>
      </c>
      <c r="AT108" s="181">
        <f ca="1">IF($D108&lt;&gt;"Serviço",0,IF(AND(AUTOEVENTO="Manual",$M108=1),0,IF(OFFSET(CRONOPLE!$F$14,$M108,AT$13)="",10^12,OFFSET(CRONOPLE!$F$14,$M108,AT$13))))</f>
        <v>1000000000000</v>
      </c>
      <c r="AU108" s="181">
        <f ca="1">IF($D108&lt;&gt;"Serviço",0,IF(AND(AUTOEVENTO="Manual",$M108=1),0,IF(OFFSET(CRONOPLE!$F$14,$M108,AU$13)="",10^12,OFFSET(CRONOPLE!$F$14,$M108,AU$13))))</f>
        <v>1000000000000</v>
      </c>
      <c r="AV108" s="181">
        <f ca="1">IF($D108&lt;&gt;"Serviço",0,IF(AND(AUTOEVENTO="Manual",$M108=1),0,IF(OFFSET(CRONOPLE!$F$14,$M108,AV$13)="",10^12,OFFSET(CRONOPLE!$F$14,$M108,AV$13))))</f>
        <v>1000000000000</v>
      </c>
      <c r="AX108" s="182">
        <f ca="1">IF($D108&lt;&gt;"Serviço",0,IF(OR(AND(AUTOEVENTO="Manual",$M108=1),$M108&gt;(ROW(PLE.lastrow)-ROW(PLE.firstrow))),0,IF(OFFSET(PLE!$G$14,$M108,AX$13)="",10^12,OFFSET(PLE!$G$14,$M108,AX$13))))</f>
        <v>1000000000000</v>
      </c>
      <c r="AY108" s="182">
        <f ca="1">IF($D108&lt;&gt;"Serviço",0,IF(OR(AND(AUTOEVENTO="Manual",$M108=1),$M108&gt;(ROW(PLE.lastrow)-ROW(PLE.firstrow))),0,IF(OFFSET(PLE!$G$14,$M108,AY$13)="",10^12,OFFSET(PLE!$G$14,$M108,AY$13))))</f>
        <v>1000000000000</v>
      </c>
      <c r="AZ108" s="182">
        <f ca="1">IF($D108&lt;&gt;"Serviço",0,IF(OR(AND(AUTOEVENTO="Manual",$M108=1),$M108&gt;(ROW(PLE.lastrow)-ROW(PLE.firstrow))),0,IF(OFFSET(PLE!$G$14,$M108,AZ$13)="",10^12,OFFSET(PLE!$G$14,$M108,AZ$13))))</f>
        <v>1000000000000</v>
      </c>
      <c r="BA108" s="182">
        <f ca="1">IF($D108&lt;&gt;"Serviço",0,IF(OR(AND(AUTOEVENTO="Manual",$M108=1),$M108&gt;(ROW(PLE.lastrow)-ROW(PLE.firstrow))),0,IF(OFFSET(PLE!$G$14,$M108,BA$13)="",10^12,OFFSET(PLE!$G$14,$M108,BA$13))))</f>
        <v>1000000000000</v>
      </c>
      <c r="BB108" s="182">
        <f ca="1">IF($D108&lt;&gt;"Serviço",0,IF(OR(AND(AUTOEVENTO="Manual",$M108=1),$M108&gt;(ROW(PLE.lastrow)-ROW(PLE.firstrow))),0,IF(OFFSET(PLE!$G$14,$M108,BB$13)="",10^12,OFFSET(PLE!$G$14,$M108,BB$13))))</f>
        <v>1000000000000</v>
      </c>
      <c r="BC108" s="182">
        <f ca="1">IF($D108&lt;&gt;"Serviço",0,IF(OR(AND(AUTOEVENTO="Manual",$M108=1),$M108&gt;(ROW(PLE.lastrow)-ROW(PLE.firstrow))),0,IF(OFFSET(PLE!$G$14,$M108,BC$13)="",10^12,OFFSET(PLE!$G$14,$M108,BC$13))))</f>
        <v>1000000000000</v>
      </c>
      <c r="BD108" s="182">
        <f ca="1">IF($D108&lt;&gt;"Serviço",0,IF(OR(AND(AUTOEVENTO="Manual",$M108=1),$M108&gt;(ROW(PLE.lastrow)-ROW(PLE.firstrow))),0,IF(OFFSET(PLE!$G$14,$M108,BD$13)="",10^12,OFFSET(PLE!$G$14,$M108,BD$13))))</f>
        <v>1000000000000</v>
      </c>
      <c r="BE108" s="182">
        <f ca="1">IF($D108&lt;&gt;"Serviço",0,IF(OR(AND(AUTOEVENTO="Manual",$M108=1),$M108&gt;(ROW(PLE.lastrow)-ROW(PLE.firstrow))),0,IF(OFFSET(PLE!$G$14,$M108,BE$13)="",10^12,OFFSET(PLE!$G$14,$M108,BE$13))))</f>
        <v>1000000000000</v>
      </c>
      <c r="BF108" s="182">
        <f ca="1">IF($D108&lt;&gt;"Serviço",0,IF(OR(AND(AUTOEVENTO="Manual",$M108=1),$M108&gt;(ROW(PLE.lastrow)-ROW(PLE.firstrow))),0,IF(OFFSET(PLE!$G$14,$M108,BF$13)="",10^12,OFFSET(PLE!$G$14,$M108,BF$13))))</f>
        <v>1000000000000</v>
      </c>
      <c r="BG108" s="182">
        <f ca="1">IF($D108&lt;&gt;"Serviço",0,IF(OR(AND(AUTOEVENTO="Manual",$M108=1),$M108&gt;(ROW(PLE.lastrow)-ROW(PLE.firstrow))),0,IF(OFFSET(PLE!$G$14,$M108,BG$13)="",10^12,OFFSET(PLE!$G$14,$M108,BG$13))))</f>
        <v>1000000000000</v>
      </c>
    </row>
    <row r="109" spans="1:59" s="577" customFormat="1" ht="38.25" x14ac:dyDescent="0.2">
      <c r="A109" s="7" t="str">
        <f ca="1">IF(AUTOEVENTO="Manual",IF(K109&lt;&gt;"",MIN(VALUE(LEFT(K109,FIND(".",K109)-1)),COUNTA(EVENTOS.Lista)),0),IF(OR($B109&gt;AUTOEVENTO,$B109="S",$B109=0),SUBSTITUTE(OFFSET($A109,-1,0),IF($D109="Serviço",".",""),""),ROW(A109)-ROW($A$15)&amp;"."))</f>
        <v>89</v>
      </c>
      <c r="B109" s="7" t="str">
        <f ca="1">OFFSET(ORÇAMENTO!C$15,ROW(B109)-ROW(B$15),0)</f>
        <v>S</v>
      </c>
      <c r="C109" s="7" t="str">
        <f ca="1">OFFSET(ORÇAMENTO!L$15,ROW(C109)-ROW(C$15),0)</f>
        <v>F</v>
      </c>
      <c r="D109" s="118" t="str">
        <f ca="1">OFFSET(ORÇAMENTO!N$15,ROW(D109)-ROW(D$15),0)</f>
        <v>Serviço</v>
      </c>
      <c r="E109" s="119" t="str">
        <f ca="1">OFFSET(ORÇAMENTO!O$15,ROW(E109)-ROW(E$15),0)</f>
        <v>3.4.5.</v>
      </c>
      <c r="F109" s="172" t="str">
        <f ca="1">OFFSET(ORÇAMENTO!R$15,ROW(F109)-ROW(F$15),0)</f>
        <v>Carga, manobra e descarga de concreto asfáltico com borracha em caminhão basculante de 10 m³ - carga em usina de asfalto 100/140 t/h e descarga em vibroacabadora</v>
      </c>
      <c r="G109" s="173" t="str">
        <f ca="1">IF($D109&lt;&gt;"Serviço","",OFFSET(ORÇAMENTO!S$15,ROW(G109)-ROW(G$15),0))</f>
        <v>t</v>
      </c>
      <c r="H109" s="124">
        <f ca="1">IF($D109&lt;&gt;"Serviço",0,IF(ACOMPANHAMENTO="BM",ROUND(OFFSET(ORÇAMENTO!AJ$15,ROW(H109)-ROW(H$15),0),15-13*ORÇAMENTO!$AF$7),SUMPRODUCT(($Q$12:$AA$12&lt;&gt;"")*ROUND($Q109:$AA109,15-13*ORÇAMENTO!$AF$7))))</f>
        <v>391.68</v>
      </c>
      <c r="I109" s="561"/>
      <c r="K109" s="174"/>
      <c r="L109" s="175" t="s">
        <v>255</v>
      </c>
      <c r="M109" s="176">
        <f ca="1">IF($D109&lt;&gt;"Serviço","",IF(AUTOEVENTO="manual",$A109,IF(ISERROR(MATCH($A109,$A$15:OFFSET($A109,-1,0),0)),MAX($M$15:OFFSET(M109,-1,0))+1,INDEX($M$15:OFFSET(M109,-1,0),MATCH($A109,$A$15:OFFSET($A109,-1,0),0)))))</f>
        <v>15</v>
      </c>
      <c r="N109" s="177" t="str">
        <f ca="1">IF($D109&lt;&gt;"Serviço","",IF(AUTOEVENTO="Manual",IF($A109=0,"&lt;-- defina o número do agrupador",OFFSET(EVENTOS!$D$14,$A109,0)),OFFSET($F$15,$A109,0)))</f>
        <v>PAVIMENTAÇÃO</v>
      </c>
      <c r="O109" s="178"/>
      <c r="Q109" s="178"/>
      <c r="R109" s="179"/>
      <c r="S109" s="179"/>
      <c r="T109" s="179"/>
      <c r="U109" s="179"/>
      <c r="V109" s="179"/>
      <c r="W109" s="179"/>
      <c r="X109" s="179"/>
      <c r="Y109" s="179"/>
      <c r="Z109" s="180"/>
      <c r="AB109" s="544">
        <f ca="1">IF(AND($D109="Serviço",AB$12&lt;&gt;0,$H109&gt;0,OR(AUTOEVENTO&lt;&gt;"manual",$M109&lt;&gt;1)), IF(Import.TipoArredondamento&lt;&gt;"TransfereGOV", ROUND(OFFSET($P109,0,AB$13),15-13*ORÇAMENTO!$AF$7)/$H109*OFFSET(ORÇAMENTO!$X$15,ROW(AB109)-ROW(AB$15),0), ROUND(ROUND(OFFSET($P109,0,AB$13),15-13*ORÇAMENTO!$AF$7)*OFFSET(ORÇAMENTO!$W$15,ROW(AB109)-ROW(AB$15),0),15-13*ORÇAMENTO!$AF$11)),0)</f>
        <v>0</v>
      </c>
      <c r="AC109" s="545">
        <f ca="1">IF(AND($D109="Serviço",AC$12&lt;&gt;0,$H109&gt;0,OR(AUTOEVENTO&lt;&gt;"manual",$M109&lt;&gt;1)), IF(Import.TipoArredondamento&lt;&gt;"TransfereGOV", ROUND(OFFSET($P109,0,AC$13),15-13*ORÇAMENTO!$AF$7)/$H109*OFFSET(ORÇAMENTO!$X$15,ROW(AC109)-ROW(AC$15),0), ROUND(ROUND(OFFSET($P109,0,AC$13),15-13*ORÇAMENTO!$AF$7)*OFFSET(ORÇAMENTO!$W$15,ROW(AC109)-ROW(AC$15),0),15-13*ORÇAMENTO!$AF$11)),0)</f>
        <v>0</v>
      </c>
      <c r="AD109" s="545">
        <f ca="1">IF(AND($D109="Serviço",AD$12&lt;&gt;0,$H109&gt;0,OR(AUTOEVENTO&lt;&gt;"manual",$M109&lt;&gt;1)), IF(Import.TipoArredondamento&lt;&gt;"TransfereGOV", ROUND(OFFSET($P109,0,AD$13),15-13*ORÇAMENTO!$AF$7)/$H109*OFFSET(ORÇAMENTO!$X$15,ROW(AD109)-ROW(AD$15),0), ROUND(ROUND(OFFSET($P109,0,AD$13),15-13*ORÇAMENTO!$AF$7)*OFFSET(ORÇAMENTO!$W$15,ROW(AD109)-ROW(AD$15),0),15-13*ORÇAMENTO!$AF$11)),0)</f>
        <v>0</v>
      </c>
      <c r="AE109" s="545">
        <f ca="1">IF(AND($D109="Serviço",AE$12&lt;&gt;0,$H109&gt;0,OR(AUTOEVENTO&lt;&gt;"manual",$M109&lt;&gt;1)), IF(Import.TipoArredondamento&lt;&gt;"TransfereGOV", ROUND(OFFSET($P109,0,AE$13),15-13*ORÇAMENTO!$AF$7)/$H109*OFFSET(ORÇAMENTO!$X$15,ROW(AE109)-ROW(AE$15),0), ROUND(ROUND(OFFSET($P109,0,AE$13),15-13*ORÇAMENTO!$AF$7)*OFFSET(ORÇAMENTO!$W$15,ROW(AE109)-ROW(AE$15),0),15-13*ORÇAMENTO!$AF$11)),0)</f>
        <v>0</v>
      </c>
      <c r="AF109" s="545">
        <f ca="1">IF(AND($D109="Serviço",AF$12&lt;&gt;0,$H109&gt;0,OR(AUTOEVENTO&lt;&gt;"manual",$M109&lt;&gt;1)), IF(Import.TipoArredondamento&lt;&gt;"TransfereGOV", ROUND(OFFSET($P109,0,AF$13),15-13*ORÇAMENTO!$AF$7)/$H109*OFFSET(ORÇAMENTO!$X$15,ROW(AF109)-ROW(AF$15),0), ROUND(ROUND(OFFSET($P109,0,AF$13),15-13*ORÇAMENTO!$AF$7)*OFFSET(ORÇAMENTO!$W$15,ROW(AF109)-ROW(AF$15),0),15-13*ORÇAMENTO!$AF$11)),0)</f>
        <v>0</v>
      </c>
      <c r="AG109" s="545">
        <f ca="1">IF(AND($D109="Serviço",AG$12&lt;&gt;0,$H109&gt;0,OR(AUTOEVENTO&lt;&gt;"manual",$M109&lt;&gt;1)), IF(Import.TipoArredondamento&lt;&gt;"TransfereGOV", ROUND(OFFSET($P109,0,AG$13),15-13*ORÇAMENTO!$AF$7)/$H109*OFFSET(ORÇAMENTO!$X$15,ROW(AG109)-ROW(AG$15),0), ROUND(ROUND(OFFSET($P109,0,AG$13),15-13*ORÇAMENTO!$AF$7)*OFFSET(ORÇAMENTO!$W$15,ROW(AG109)-ROW(AG$15),0),15-13*ORÇAMENTO!$AF$11)),0)</f>
        <v>0</v>
      </c>
      <c r="AH109" s="545">
        <f ca="1">IF(AND($D109="Serviço",AH$12&lt;&gt;0,$H109&gt;0,OR(AUTOEVENTO&lt;&gt;"manual",$M109&lt;&gt;1)), IF(Import.TipoArredondamento&lt;&gt;"TransfereGOV", ROUND(OFFSET($P109,0,AH$13),15-13*ORÇAMENTO!$AF$7)/$H109*OFFSET(ORÇAMENTO!$X$15,ROW(AH109)-ROW(AH$15),0), ROUND(ROUND(OFFSET($P109,0,AH$13),15-13*ORÇAMENTO!$AF$7)*OFFSET(ORÇAMENTO!$W$15,ROW(AH109)-ROW(AH$15),0),15-13*ORÇAMENTO!$AF$11)),0)</f>
        <v>0</v>
      </c>
      <c r="AI109" s="545">
        <f ca="1">IF(AND($D109="Serviço",AI$12&lt;&gt;0,$H109&gt;0,OR(AUTOEVENTO&lt;&gt;"manual",$M109&lt;&gt;1)), IF(Import.TipoArredondamento&lt;&gt;"TransfereGOV", ROUND(OFFSET($P109,0,AI$13),15-13*ORÇAMENTO!$AF$7)/$H109*OFFSET(ORÇAMENTO!$X$15,ROW(AI109)-ROW(AI$15),0), ROUND(ROUND(OFFSET($P109,0,AI$13),15-13*ORÇAMENTO!$AF$7)*OFFSET(ORÇAMENTO!$W$15,ROW(AI109)-ROW(AI$15),0),15-13*ORÇAMENTO!$AF$11)),0)</f>
        <v>0</v>
      </c>
      <c r="AJ109" s="545">
        <f ca="1">IF(AND($D109="Serviço",AJ$12&lt;&gt;0,$H109&gt;0,OR(AUTOEVENTO&lt;&gt;"manual",$M109&lt;&gt;1)), IF(Import.TipoArredondamento&lt;&gt;"TransfereGOV", ROUND(OFFSET($P109,0,AJ$13),15-13*ORÇAMENTO!$AF$7)/$H109*OFFSET(ORÇAMENTO!$X$15,ROW(AJ109)-ROW(AJ$15),0), ROUND(ROUND(OFFSET($P109,0,AJ$13),15-13*ORÇAMENTO!$AF$7)*OFFSET(ORÇAMENTO!$W$15,ROW(AJ109)-ROW(AJ$15),0),15-13*ORÇAMENTO!$AF$11)),0)</f>
        <v>0</v>
      </c>
      <c r="AK109" s="546">
        <f ca="1">IF(AND($D109="Serviço",AK$12&lt;&gt;0,$H109&gt;0,OR(AUTOEVENTO&lt;&gt;"manual",$M109&lt;&gt;1)), IF(Import.TipoArredondamento&lt;&gt;"TransfereGOV", ROUND(OFFSET($P109,0,AK$13),15-13*ORÇAMENTO!$AF$7)/$H109*OFFSET(ORÇAMENTO!$X$15,ROW(AK109)-ROW(AK$15),0), ROUND(ROUND(OFFSET($P109,0,AK$13),15-13*ORÇAMENTO!$AF$7)*OFFSET(ORÇAMENTO!$W$15,ROW(AK109)-ROW(AK$15),0),15-13*ORÇAMENTO!$AF$11)),0)</f>
        <v>0</v>
      </c>
      <c r="AM109" s="181">
        <f ca="1">IF($D109&lt;&gt;"Serviço",0,IF(AND(AUTOEVENTO="Manual",$M109=1),0,IF(OFFSET(CRONOPLE!$F$14,$M109,AM$13)="",10^12,OFFSET(CRONOPLE!$F$14,$M109,AM$13))))</f>
        <v>1000000000000</v>
      </c>
      <c r="AN109" s="181">
        <f ca="1">IF($D109&lt;&gt;"Serviço",0,IF(AND(AUTOEVENTO="Manual",$M109=1),0,IF(OFFSET(CRONOPLE!$F$14,$M109,AN$13)="",10^12,OFFSET(CRONOPLE!$F$14,$M109,AN$13))))</f>
        <v>1000000000000</v>
      </c>
      <c r="AO109" s="181">
        <f ca="1">IF($D109&lt;&gt;"Serviço",0,IF(AND(AUTOEVENTO="Manual",$M109=1),0,IF(OFFSET(CRONOPLE!$F$14,$M109,AO$13)="",10^12,OFFSET(CRONOPLE!$F$14,$M109,AO$13))))</f>
        <v>1000000000000</v>
      </c>
      <c r="AP109" s="181">
        <f ca="1">IF($D109&lt;&gt;"Serviço",0,IF(AND(AUTOEVENTO="Manual",$M109=1),0,IF(OFFSET(CRONOPLE!$F$14,$M109,AP$13)="",10^12,OFFSET(CRONOPLE!$F$14,$M109,AP$13))))</f>
        <v>1000000000000</v>
      </c>
      <c r="AQ109" s="181">
        <f ca="1">IF($D109&lt;&gt;"Serviço",0,IF(AND(AUTOEVENTO="Manual",$M109=1),0,IF(OFFSET(CRONOPLE!$F$14,$M109,AQ$13)="",10^12,OFFSET(CRONOPLE!$F$14,$M109,AQ$13))))</f>
        <v>1000000000000</v>
      </c>
      <c r="AR109" s="181">
        <f ca="1">IF($D109&lt;&gt;"Serviço",0,IF(AND(AUTOEVENTO="Manual",$M109=1),0,IF(OFFSET(CRONOPLE!$F$14,$M109,AR$13)="",10^12,OFFSET(CRONOPLE!$F$14,$M109,AR$13))))</f>
        <v>1000000000000</v>
      </c>
      <c r="AS109" s="181">
        <f ca="1">IF($D109&lt;&gt;"Serviço",0,IF(AND(AUTOEVENTO="Manual",$M109=1),0,IF(OFFSET(CRONOPLE!$F$14,$M109,AS$13)="",10^12,OFFSET(CRONOPLE!$F$14,$M109,AS$13))))</f>
        <v>1000000000000</v>
      </c>
      <c r="AT109" s="181">
        <f ca="1">IF($D109&lt;&gt;"Serviço",0,IF(AND(AUTOEVENTO="Manual",$M109=1),0,IF(OFFSET(CRONOPLE!$F$14,$M109,AT$13)="",10^12,OFFSET(CRONOPLE!$F$14,$M109,AT$13))))</f>
        <v>1000000000000</v>
      </c>
      <c r="AU109" s="181">
        <f ca="1">IF($D109&lt;&gt;"Serviço",0,IF(AND(AUTOEVENTO="Manual",$M109=1),0,IF(OFFSET(CRONOPLE!$F$14,$M109,AU$13)="",10^12,OFFSET(CRONOPLE!$F$14,$M109,AU$13))))</f>
        <v>1000000000000</v>
      </c>
      <c r="AV109" s="181">
        <f ca="1">IF($D109&lt;&gt;"Serviço",0,IF(AND(AUTOEVENTO="Manual",$M109=1),0,IF(OFFSET(CRONOPLE!$F$14,$M109,AV$13)="",10^12,OFFSET(CRONOPLE!$F$14,$M109,AV$13))))</f>
        <v>1000000000000</v>
      </c>
      <c r="AX109" s="182">
        <f ca="1">IF($D109&lt;&gt;"Serviço",0,IF(OR(AND(AUTOEVENTO="Manual",$M109=1),$M109&gt;(ROW(PLE.lastrow)-ROW(PLE.firstrow))),0,IF(OFFSET(PLE!$G$14,$M109,AX$13)="",10^12,OFFSET(PLE!$G$14,$M109,AX$13))))</f>
        <v>1000000000000</v>
      </c>
      <c r="AY109" s="182">
        <f ca="1">IF($D109&lt;&gt;"Serviço",0,IF(OR(AND(AUTOEVENTO="Manual",$M109=1),$M109&gt;(ROW(PLE.lastrow)-ROW(PLE.firstrow))),0,IF(OFFSET(PLE!$G$14,$M109,AY$13)="",10^12,OFFSET(PLE!$G$14,$M109,AY$13))))</f>
        <v>1000000000000</v>
      </c>
      <c r="AZ109" s="182">
        <f ca="1">IF($D109&lt;&gt;"Serviço",0,IF(OR(AND(AUTOEVENTO="Manual",$M109=1),$M109&gt;(ROW(PLE.lastrow)-ROW(PLE.firstrow))),0,IF(OFFSET(PLE!$G$14,$M109,AZ$13)="",10^12,OFFSET(PLE!$G$14,$M109,AZ$13))))</f>
        <v>1000000000000</v>
      </c>
      <c r="BA109" s="182">
        <f ca="1">IF($D109&lt;&gt;"Serviço",0,IF(OR(AND(AUTOEVENTO="Manual",$M109=1),$M109&gt;(ROW(PLE.lastrow)-ROW(PLE.firstrow))),0,IF(OFFSET(PLE!$G$14,$M109,BA$13)="",10^12,OFFSET(PLE!$G$14,$M109,BA$13))))</f>
        <v>1000000000000</v>
      </c>
      <c r="BB109" s="182">
        <f ca="1">IF($D109&lt;&gt;"Serviço",0,IF(OR(AND(AUTOEVENTO="Manual",$M109=1),$M109&gt;(ROW(PLE.lastrow)-ROW(PLE.firstrow))),0,IF(OFFSET(PLE!$G$14,$M109,BB$13)="",10^12,OFFSET(PLE!$G$14,$M109,BB$13))))</f>
        <v>1000000000000</v>
      </c>
      <c r="BC109" s="182">
        <f ca="1">IF($D109&lt;&gt;"Serviço",0,IF(OR(AND(AUTOEVENTO="Manual",$M109=1),$M109&gt;(ROW(PLE.lastrow)-ROW(PLE.firstrow))),0,IF(OFFSET(PLE!$G$14,$M109,BC$13)="",10^12,OFFSET(PLE!$G$14,$M109,BC$13))))</f>
        <v>1000000000000</v>
      </c>
      <c r="BD109" s="182">
        <f ca="1">IF($D109&lt;&gt;"Serviço",0,IF(OR(AND(AUTOEVENTO="Manual",$M109=1),$M109&gt;(ROW(PLE.lastrow)-ROW(PLE.firstrow))),0,IF(OFFSET(PLE!$G$14,$M109,BD$13)="",10^12,OFFSET(PLE!$G$14,$M109,BD$13))))</f>
        <v>1000000000000</v>
      </c>
      <c r="BE109" s="182">
        <f ca="1">IF($D109&lt;&gt;"Serviço",0,IF(OR(AND(AUTOEVENTO="Manual",$M109=1),$M109&gt;(ROW(PLE.lastrow)-ROW(PLE.firstrow))),0,IF(OFFSET(PLE!$G$14,$M109,BE$13)="",10^12,OFFSET(PLE!$G$14,$M109,BE$13))))</f>
        <v>1000000000000</v>
      </c>
      <c r="BF109" s="182">
        <f ca="1">IF($D109&lt;&gt;"Serviço",0,IF(OR(AND(AUTOEVENTO="Manual",$M109=1),$M109&gt;(ROW(PLE.lastrow)-ROW(PLE.firstrow))),0,IF(OFFSET(PLE!$G$14,$M109,BF$13)="",10^12,OFFSET(PLE!$G$14,$M109,BF$13))))</f>
        <v>1000000000000</v>
      </c>
      <c r="BG109" s="182">
        <f ca="1">IF($D109&lt;&gt;"Serviço",0,IF(OR(AND(AUTOEVENTO="Manual",$M109=1),$M109&gt;(ROW(PLE.lastrow)-ROW(PLE.firstrow))),0,IF(OFFSET(PLE!$G$14,$M109,BG$13)="",10^12,OFFSET(PLE!$G$14,$M109,BG$13))))</f>
        <v>1000000000000</v>
      </c>
    </row>
    <row r="110" spans="1:59" s="577" customFormat="1" ht="25.5" x14ac:dyDescent="0.2">
      <c r="A110" s="7" t="str">
        <f t="shared" ca="1" si="10"/>
        <v>89</v>
      </c>
      <c r="B110" s="7" t="str">
        <f ca="1">OFFSET(ORÇAMENTO!C$15,ROW(B110)-ROW(B$15),0)</f>
        <v>S</v>
      </c>
      <c r="C110" s="7" t="str">
        <f ca="1">OFFSET(ORÇAMENTO!L$15,ROW(C110)-ROW(C$15),0)</f>
        <v>F</v>
      </c>
      <c r="D110" s="118" t="str">
        <f ca="1">OFFSET(ORÇAMENTO!N$15,ROW(D110)-ROW(D$15),0)</f>
        <v>Serviço</v>
      </c>
      <c r="E110" s="119" t="str">
        <f ca="1">OFFSET(ORÇAMENTO!O$15,ROW(E110)-ROW(E$15),0)</f>
        <v>3.4.6.</v>
      </c>
      <c r="F110" s="172" t="str">
        <f ca="1">OFFSET(ORÇAMENTO!R$15,ROW(F110)-ROW(F$15),0)</f>
        <v xml:space="preserve">CIMENTO ASFÁLTICO CAP 50/70 (Base de preço: ANP CAP 50/70 + ICMS (17%) + PIS (0,65%) + COFINS (3%) </v>
      </c>
      <c r="G110" s="173" t="str">
        <f ca="1">IF($D110&lt;&gt;"Serviço","",OFFSET(ORÇAMENTO!S$15,ROW(G110)-ROW(G$15),0))</f>
        <v>TON</v>
      </c>
      <c r="H110" s="124">
        <f ca="1">IF($D110&lt;&gt;"Serviço",0,IF(ACOMPANHAMENTO="BM",ROUND(OFFSET(ORÇAMENTO!AJ$15,ROW(H110)-ROW(H$15),0),15-13*ORÇAMENTO!$AF$7),SUMPRODUCT(($Q$12:$AA$12&lt;&gt;"")*ROUND($Q110:$AA110,15-13*ORÇAMENTO!$AF$7))))</f>
        <v>21.71</v>
      </c>
      <c r="I110" s="561"/>
      <c r="K110" s="174"/>
      <c r="L110" s="175" t="s">
        <v>255</v>
      </c>
      <c r="M110" s="176">
        <f ca="1">IF($D110&lt;&gt;"Serviço","",IF(AUTOEVENTO="manual",$A110,IF(ISERROR(MATCH($A110,$A$15:OFFSET($A110,-1,0),0)),MAX($M$15:OFFSET(M110,-1,0))+1,INDEX($M$15:OFFSET(M110,-1,0),MATCH($A110,$A$15:OFFSET($A110,-1,0),0)))))</f>
        <v>15</v>
      </c>
      <c r="N110" s="177" t="str">
        <f ca="1">IF($D110&lt;&gt;"Serviço","",IF(AUTOEVENTO="Manual",IF($A110=0,"&lt;-- defina o número do agrupador",OFFSET(EVENTOS!$D$14,$A110,0)),OFFSET($F$15,$A110,0)))</f>
        <v>PAVIMENTAÇÃO</v>
      </c>
      <c r="O110" s="178"/>
      <c r="Q110" s="178"/>
      <c r="R110" s="179"/>
      <c r="S110" s="179"/>
      <c r="T110" s="179"/>
      <c r="U110" s="179"/>
      <c r="V110" s="179"/>
      <c r="W110" s="179"/>
      <c r="X110" s="179"/>
      <c r="Y110" s="179"/>
      <c r="Z110" s="180"/>
      <c r="AB110" s="544">
        <f ca="1">IF(AND($D110="Serviço",AB$12&lt;&gt;0,$H110&gt;0,OR(AUTOEVENTO&lt;&gt;"manual",$M110&lt;&gt;1)), IF(Import.TipoArredondamento&lt;&gt;"TransfereGOV", ROUND(OFFSET($P110,0,AB$13),15-13*ORÇAMENTO!$AF$7)/$H110*OFFSET(ORÇAMENTO!$X$15,ROW(AB110)-ROW(AB$15),0), ROUND(ROUND(OFFSET($P110,0,AB$13),15-13*ORÇAMENTO!$AF$7)*OFFSET(ORÇAMENTO!$W$15,ROW(AB110)-ROW(AB$15),0),15-13*ORÇAMENTO!$AF$11)),0)</f>
        <v>0</v>
      </c>
      <c r="AC110" s="545">
        <f ca="1">IF(AND($D110="Serviço",AC$12&lt;&gt;0,$H110&gt;0,OR(AUTOEVENTO&lt;&gt;"manual",$M110&lt;&gt;1)), IF(Import.TipoArredondamento&lt;&gt;"TransfereGOV", ROUND(OFFSET($P110,0,AC$13),15-13*ORÇAMENTO!$AF$7)/$H110*OFFSET(ORÇAMENTO!$X$15,ROW(AC110)-ROW(AC$15),0), ROUND(ROUND(OFFSET($P110,0,AC$13),15-13*ORÇAMENTO!$AF$7)*OFFSET(ORÇAMENTO!$W$15,ROW(AC110)-ROW(AC$15),0),15-13*ORÇAMENTO!$AF$11)),0)</f>
        <v>0</v>
      </c>
      <c r="AD110" s="545">
        <f ca="1">IF(AND($D110="Serviço",AD$12&lt;&gt;0,$H110&gt;0,OR(AUTOEVENTO&lt;&gt;"manual",$M110&lt;&gt;1)), IF(Import.TipoArredondamento&lt;&gt;"TransfereGOV", ROUND(OFFSET($P110,0,AD$13),15-13*ORÇAMENTO!$AF$7)/$H110*OFFSET(ORÇAMENTO!$X$15,ROW(AD110)-ROW(AD$15),0), ROUND(ROUND(OFFSET($P110,0,AD$13),15-13*ORÇAMENTO!$AF$7)*OFFSET(ORÇAMENTO!$W$15,ROW(AD110)-ROW(AD$15),0),15-13*ORÇAMENTO!$AF$11)),0)</f>
        <v>0</v>
      </c>
      <c r="AE110" s="545">
        <f ca="1">IF(AND($D110="Serviço",AE$12&lt;&gt;0,$H110&gt;0,OR(AUTOEVENTO&lt;&gt;"manual",$M110&lt;&gt;1)), IF(Import.TipoArredondamento&lt;&gt;"TransfereGOV", ROUND(OFFSET($P110,0,AE$13),15-13*ORÇAMENTO!$AF$7)/$H110*OFFSET(ORÇAMENTO!$X$15,ROW(AE110)-ROW(AE$15),0), ROUND(ROUND(OFFSET($P110,0,AE$13),15-13*ORÇAMENTO!$AF$7)*OFFSET(ORÇAMENTO!$W$15,ROW(AE110)-ROW(AE$15),0),15-13*ORÇAMENTO!$AF$11)),0)</f>
        <v>0</v>
      </c>
      <c r="AF110" s="545">
        <f ca="1">IF(AND($D110="Serviço",AF$12&lt;&gt;0,$H110&gt;0,OR(AUTOEVENTO&lt;&gt;"manual",$M110&lt;&gt;1)), IF(Import.TipoArredondamento&lt;&gt;"TransfereGOV", ROUND(OFFSET($P110,0,AF$13),15-13*ORÇAMENTO!$AF$7)/$H110*OFFSET(ORÇAMENTO!$X$15,ROW(AF110)-ROW(AF$15),0), ROUND(ROUND(OFFSET($P110,0,AF$13),15-13*ORÇAMENTO!$AF$7)*OFFSET(ORÇAMENTO!$W$15,ROW(AF110)-ROW(AF$15),0),15-13*ORÇAMENTO!$AF$11)),0)</f>
        <v>0</v>
      </c>
      <c r="AG110" s="545">
        <f ca="1">IF(AND($D110="Serviço",AG$12&lt;&gt;0,$H110&gt;0,OR(AUTOEVENTO&lt;&gt;"manual",$M110&lt;&gt;1)), IF(Import.TipoArredondamento&lt;&gt;"TransfereGOV", ROUND(OFFSET($P110,0,AG$13),15-13*ORÇAMENTO!$AF$7)/$H110*OFFSET(ORÇAMENTO!$X$15,ROW(AG110)-ROW(AG$15),0), ROUND(ROUND(OFFSET($P110,0,AG$13),15-13*ORÇAMENTO!$AF$7)*OFFSET(ORÇAMENTO!$W$15,ROW(AG110)-ROW(AG$15),0),15-13*ORÇAMENTO!$AF$11)),0)</f>
        <v>0</v>
      </c>
      <c r="AH110" s="545">
        <f ca="1">IF(AND($D110="Serviço",AH$12&lt;&gt;0,$H110&gt;0,OR(AUTOEVENTO&lt;&gt;"manual",$M110&lt;&gt;1)), IF(Import.TipoArredondamento&lt;&gt;"TransfereGOV", ROUND(OFFSET($P110,0,AH$13),15-13*ORÇAMENTO!$AF$7)/$H110*OFFSET(ORÇAMENTO!$X$15,ROW(AH110)-ROW(AH$15),0), ROUND(ROUND(OFFSET($P110,0,AH$13),15-13*ORÇAMENTO!$AF$7)*OFFSET(ORÇAMENTO!$W$15,ROW(AH110)-ROW(AH$15),0),15-13*ORÇAMENTO!$AF$11)),0)</f>
        <v>0</v>
      </c>
      <c r="AI110" s="545">
        <f ca="1">IF(AND($D110="Serviço",AI$12&lt;&gt;0,$H110&gt;0,OR(AUTOEVENTO&lt;&gt;"manual",$M110&lt;&gt;1)), IF(Import.TipoArredondamento&lt;&gt;"TransfereGOV", ROUND(OFFSET($P110,0,AI$13),15-13*ORÇAMENTO!$AF$7)/$H110*OFFSET(ORÇAMENTO!$X$15,ROW(AI110)-ROW(AI$15),0), ROUND(ROUND(OFFSET($P110,0,AI$13),15-13*ORÇAMENTO!$AF$7)*OFFSET(ORÇAMENTO!$W$15,ROW(AI110)-ROW(AI$15),0),15-13*ORÇAMENTO!$AF$11)),0)</f>
        <v>0</v>
      </c>
      <c r="AJ110" s="545">
        <f ca="1">IF(AND($D110="Serviço",AJ$12&lt;&gt;0,$H110&gt;0,OR(AUTOEVENTO&lt;&gt;"manual",$M110&lt;&gt;1)), IF(Import.TipoArredondamento&lt;&gt;"TransfereGOV", ROUND(OFFSET($P110,0,AJ$13),15-13*ORÇAMENTO!$AF$7)/$H110*OFFSET(ORÇAMENTO!$X$15,ROW(AJ110)-ROW(AJ$15),0), ROUND(ROUND(OFFSET($P110,0,AJ$13),15-13*ORÇAMENTO!$AF$7)*OFFSET(ORÇAMENTO!$W$15,ROW(AJ110)-ROW(AJ$15),0),15-13*ORÇAMENTO!$AF$11)),0)</f>
        <v>0</v>
      </c>
      <c r="AK110" s="546">
        <f ca="1">IF(AND($D110="Serviço",AK$12&lt;&gt;0,$H110&gt;0,OR(AUTOEVENTO&lt;&gt;"manual",$M110&lt;&gt;1)), IF(Import.TipoArredondamento&lt;&gt;"TransfereGOV", ROUND(OFFSET($P110,0,AK$13),15-13*ORÇAMENTO!$AF$7)/$H110*OFFSET(ORÇAMENTO!$X$15,ROW(AK110)-ROW(AK$15),0), ROUND(ROUND(OFFSET($P110,0,AK$13),15-13*ORÇAMENTO!$AF$7)*OFFSET(ORÇAMENTO!$W$15,ROW(AK110)-ROW(AK$15),0),15-13*ORÇAMENTO!$AF$11)),0)</f>
        <v>0</v>
      </c>
      <c r="AM110" s="181">
        <f ca="1">IF($D110&lt;&gt;"Serviço",0,IF(AND(AUTOEVENTO="Manual",$M110=1),0,IF(OFFSET(CRONOPLE!$F$14,$M110,AM$13)="",10^12,OFFSET(CRONOPLE!$F$14,$M110,AM$13))))</f>
        <v>1000000000000</v>
      </c>
      <c r="AN110" s="181">
        <f ca="1">IF($D110&lt;&gt;"Serviço",0,IF(AND(AUTOEVENTO="Manual",$M110=1),0,IF(OFFSET(CRONOPLE!$F$14,$M110,AN$13)="",10^12,OFFSET(CRONOPLE!$F$14,$M110,AN$13))))</f>
        <v>1000000000000</v>
      </c>
      <c r="AO110" s="181">
        <f ca="1">IF($D110&lt;&gt;"Serviço",0,IF(AND(AUTOEVENTO="Manual",$M110=1),0,IF(OFFSET(CRONOPLE!$F$14,$M110,AO$13)="",10^12,OFFSET(CRONOPLE!$F$14,$M110,AO$13))))</f>
        <v>1000000000000</v>
      </c>
      <c r="AP110" s="181">
        <f ca="1">IF($D110&lt;&gt;"Serviço",0,IF(AND(AUTOEVENTO="Manual",$M110=1),0,IF(OFFSET(CRONOPLE!$F$14,$M110,AP$13)="",10^12,OFFSET(CRONOPLE!$F$14,$M110,AP$13))))</f>
        <v>1000000000000</v>
      </c>
      <c r="AQ110" s="181">
        <f ca="1">IF($D110&lt;&gt;"Serviço",0,IF(AND(AUTOEVENTO="Manual",$M110=1),0,IF(OFFSET(CRONOPLE!$F$14,$M110,AQ$13)="",10^12,OFFSET(CRONOPLE!$F$14,$M110,AQ$13))))</f>
        <v>1000000000000</v>
      </c>
      <c r="AR110" s="181">
        <f ca="1">IF($D110&lt;&gt;"Serviço",0,IF(AND(AUTOEVENTO="Manual",$M110=1),0,IF(OFFSET(CRONOPLE!$F$14,$M110,AR$13)="",10^12,OFFSET(CRONOPLE!$F$14,$M110,AR$13))))</f>
        <v>1000000000000</v>
      </c>
      <c r="AS110" s="181">
        <f ca="1">IF($D110&lt;&gt;"Serviço",0,IF(AND(AUTOEVENTO="Manual",$M110=1),0,IF(OFFSET(CRONOPLE!$F$14,$M110,AS$13)="",10^12,OFFSET(CRONOPLE!$F$14,$M110,AS$13))))</f>
        <v>1000000000000</v>
      </c>
      <c r="AT110" s="181">
        <f ca="1">IF($D110&lt;&gt;"Serviço",0,IF(AND(AUTOEVENTO="Manual",$M110=1),0,IF(OFFSET(CRONOPLE!$F$14,$M110,AT$13)="",10^12,OFFSET(CRONOPLE!$F$14,$M110,AT$13))))</f>
        <v>1000000000000</v>
      </c>
      <c r="AU110" s="181">
        <f ca="1">IF($D110&lt;&gt;"Serviço",0,IF(AND(AUTOEVENTO="Manual",$M110=1),0,IF(OFFSET(CRONOPLE!$F$14,$M110,AU$13)="",10^12,OFFSET(CRONOPLE!$F$14,$M110,AU$13))))</f>
        <v>1000000000000</v>
      </c>
      <c r="AV110" s="181">
        <f ca="1">IF($D110&lt;&gt;"Serviço",0,IF(AND(AUTOEVENTO="Manual",$M110=1),0,IF(OFFSET(CRONOPLE!$F$14,$M110,AV$13)="",10^12,OFFSET(CRONOPLE!$F$14,$M110,AV$13))))</f>
        <v>1000000000000</v>
      </c>
      <c r="AX110" s="182">
        <f ca="1">IF($D110&lt;&gt;"Serviço",0,IF(OR(AND(AUTOEVENTO="Manual",$M110=1),$M110&gt;(ROW(PLE.lastrow)-ROW(PLE.firstrow))),0,IF(OFFSET(PLE!$G$14,$M110,AX$13)="",10^12,OFFSET(PLE!$G$14,$M110,AX$13))))</f>
        <v>1000000000000</v>
      </c>
      <c r="AY110" s="182">
        <f ca="1">IF($D110&lt;&gt;"Serviço",0,IF(OR(AND(AUTOEVENTO="Manual",$M110=1),$M110&gt;(ROW(PLE.lastrow)-ROW(PLE.firstrow))),0,IF(OFFSET(PLE!$G$14,$M110,AY$13)="",10^12,OFFSET(PLE!$G$14,$M110,AY$13))))</f>
        <v>1000000000000</v>
      </c>
      <c r="AZ110" s="182">
        <f ca="1">IF($D110&lt;&gt;"Serviço",0,IF(OR(AND(AUTOEVENTO="Manual",$M110=1),$M110&gt;(ROW(PLE.lastrow)-ROW(PLE.firstrow))),0,IF(OFFSET(PLE!$G$14,$M110,AZ$13)="",10^12,OFFSET(PLE!$G$14,$M110,AZ$13))))</f>
        <v>1000000000000</v>
      </c>
      <c r="BA110" s="182">
        <f ca="1">IF($D110&lt;&gt;"Serviço",0,IF(OR(AND(AUTOEVENTO="Manual",$M110=1),$M110&gt;(ROW(PLE.lastrow)-ROW(PLE.firstrow))),0,IF(OFFSET(PLE!$G$14,$M110,BA$13)="",10^12,OFFSET(PLE!$G$14,$M110,BA$13))))</f>
        <v>1000000000000</v>
      </c>
      <c r="BB110" s="182">
        <f ca="1">IF($D110&lt;&gt;"Serviço",0,IF(OR(AND(AUTOEVENTO="Manual",$M110=1),$M110&gt;(ROW(PLE.lastrow)-ROW(PLE.firstrow))),0,IF(OFFSET(PLE!$G$14,$M110,BB$13)="",10^12,OFFSET(PLE!$G$14,$M110,BB$13))))</f>
        <v>1000000000000</v>
      </c>
      <c r="BC110" s="182">
        <f ca="1">IF($D110&lt;&gt;"Serviço",0,IF(OR(AND(AUTOEVENTO="Manual",$M110=1),$M110&gt;(ROW(PLE.lastrow)-ROW(PLE.firstrow))),0,IF(OFFSET(PLE!$G$14,$M110,BC$13)="",10^12,OFFSET(PLE!$G$14,$M110,BC$13))))</f>
        <v>1000000000000</v>
      </c>
      <c r="BD110" s="182">
        <f ca="1">IF($D110&lt;&gt;"Serviço",0,IF(OR(AND(AUTOEVENTO="Manual",$M110=1),$M110&gt;(ROW(PLE.lastrow)-ROW(PLE.firstrow))),0,IF(OFFSET(PLE!$G$14,$M110,BD$13)="",10^12,OFFSET(PLE!$G$14,$M110,BD$13))))</f>
        <v>1000000000000</v>
      </c>
      <c r="BE110" s="182">
        <f ca="1">IF($D110&lt;&gt;"Serviço",0,IF(OR(AND(AUTOEVENTO="Manual",$M110=1),$M110&gt;(ROW(PLE.lastrow)-ROW(PLE.firstrow))),0,IF(OFFSET(PLE!$G$14,$M110,BE$13)="",10^12,OFFSET(PLE!$G$14,$M110,BE$13))))</f>
        <v>1000000000000</v>
      </c>
      <c r="BF110" s="182">
        <f ca="1">IF($D110&lt;&gt;"Serviço",0,IF(OR(AND(AUTOEVENTO="Manual",$M110=1),$M110&gt;(ROW(PLE.lastrow)-ROW(PLE.firstrow))),0,IF(OFFSET(PLE!$G$14,$M110,BF$13)="",10^12,OFFSET(PLE!$G$14,$M110,BF$13))))</f>
        <v>1000000000000</v>
      </c>
      <c r="BG110" s="182">
        <f ca="1">IF($D110&lt;&gt;"Serviço",0,IF(OR(AND(AUTOEVENTO="Manual",$M110=1),$M110&gt;(ROW(PLE.lastrow)-ROW(PLE.firstrow))),0,IF(OFFSET(PLE!$G$14,$M110,BG$13)="",10^12,OFFSET(PLE!$G$14,$M110,BG$13))))</f>
        <v>1000000000000</v>
      </c>
    </row>
    <row r="111" spans="1:59" s="577" customFormat="1" ht="25.5" x14ac:dyDescent="0.2">
      <c r="A111" s="7" t="str">
        <f t="shared" ca="1" si="10"/>
        <v>89</v>
      </c>
      <c r="B111" s="7" t="str">
        <f ca="1">OFFSET(ORÇAMENTO!C$15,ROW(B111)-ROW(B$15),0)</f>
        <v>S</v>
      </c>
      <c r="C111" s="7" t="str">
        <f ca="1">OFFSET(ORÇAMENTO!L$15,ROW(C111)-ROW(C$15),0)</f>
        <v>F</v>
      </c>
      <c r="D111" s="118" t="str">
        <f ca="1">OFFSET(ORÇAMENTO!N$15,ROW(D111)-ROW(D$15),0)</f>
        <v>Serviço</v>
      </c>
      <c r="E111" s="119" t="str">
        <f ca="1">OFFSET(ORÇAMENTO!O$15,ROW(E111)-ROW(E$15),0)</f>
        <v>3.4.7.</v>
      </c>
      <c r="F111" s="172" t="str">
        <f ca="1">OFFSET(ORÇAMENTO!R$15,ROW(F111)-ROW(F$15),0)</f>
        <v xml:space="preserve">EMULSÃO ASFÁLTICA RR-2C ( Base de preço: ANP EMULSÃO RR-2C + ICMS (17%) + PIS (0,65%) + COFINS (3%) </v>
      </c>
      <c r="G111" s="173" t="str">
        <f ca="1">IF($D111&lt;&gt;"Serviço","",OFFSET(ORÇAMENTO!S$15,ROW(G111)-ROW(G$15),0))</f>
        <v>LITRO</v>
      </c>
      <c r="H111" s="124">
        <f ca="1">IF($D111&lt;&gt;"Serviço",0,IF(ACOMPANHAMENTO="BM",ROUND(OFFSET(ORÇAMENTO!AJ$15,ROW(H111)-ROW(H$15),0),15-13*ORÇAMENTO!$AF$7),SUMPRODUCT(($Q$12:$AA$12&lt;&gt;"")*ROUND($Q111:$AA111,15-13*ORÇAMENTO!$AF$7))))</f>
        <v>2224.88</v>
      </c>
      <c r="I111" s="561"/>
      <c r="K111" s="174"/>
      <c r="L111" s="175" t="s">
        <v>255</v>
      </c>
      <c r="M111" s="176">
        <f ca="1">IF($D111&lt;&gt;"Serviço","",IF(AUTOEVENTO="manual",$A111,IF(ISERROR(MATCH($A111,$A$15:OFFSET($A111,-1,0),0)),MAX($M$15:OFFSET(M111,-1,0))+1,INDEX($M$15:OFFSET(M111,-1,0),MATCH($A111,$A$15:OFFSET($A111,-1,0),0)))))</f>
        <v>15</v>
      </c>
      <c r="N111" s="177" t="str">
        <f ca="1">IF($D111&lt;&gt;"Serviço","",IF(AUTOEVENTO="Manual",IF($A111=0,"&lt;-- defina o número do agrupador",OFFSET(EVENTOS!$D$14,$A111,0)),OFFSET($F$15,$A111,0)))</f>
        <v>PAVIMENTAÇÃO</v>
      </c>
      <c r="O111" s="178"/>
      <c r="Q111" s="178"/>
      <c r="R111" s="179"/>
      <c r="S111" s="179"/>
      <c r="T111" s="179"/>
      <c r="U111" s="179"/>
      <c r="V111" s="179"/>
      <c r="W111" s="179"/>
      <c r="X111" s="179"/>
      <c r="Y111" s="179"/>
      <c r="Z111" s="180"/>
      <c r="AB111" s="544">
        <f ca="1">IF(AND($D111="Serviço",AB$12&lt;&gt;0,$H111&gt;0,OR(AUTOEVENTO&lt;&gt;"manual",$M111&lt;&gt;1)), IF(Import.TipoArredondamento&lt;&gt;"TransfereGOV", ROUND(OFFSET($P111,0,AB$13),15-13*ORÇAMENTO!$AF$7)/$H111*OFFSET(ORÇAMENTO!$X$15,ROW(AB111)-ROW(AB$15),0), ROUND(ROUND(OFFSET($P111,0,AB$13),15-13*ORÇAMENTO!$AF$7)*OFFSET(ORÇAMENTO!$W$15,ROW(AB111)-ROW(AB$15),0),15-13*ORÇAMENTO!$AF$11)),0)</f>
        <v>0</v>
      </c>
      <c r="AC111" s="545">
        <f ca="1">IF(AND($D111="Serviço",AC$12&lt;&gt;0,$H111&gt;0,OR(AUTOEVENTO&lt;&gt;"manual",$M111&lt;&gt;1)), IF(Import.TipoArredondamento&lt;&gt;"TransfereGOV", ROUND(OFFSET($P111,0,AC$13),15-13*ORÇAMENTO!$AF$7)/$H111*OFFSET(ORÇAMENTO!$X$15,ROW(AC111)-ROW(AC$15),0), ROUND(ROUND(OFFSET($P111,0,AC$13),15-13*ORÇAMENTO!$AF$7)*OFFSET(ORÇAMENTO!$W$15,ROW(AC111)-ROW(AC$15),0),15-13*ORÇAMENTO!$AF$11)),0)</f>
        <v>0</v>
      </c>
      <c r="AD111" s="545">
        <f ca="1">IF(AND($D111="Serviço",AD$12&lt;&gt;0,$H111&gt;0,OR(AUTOEVENTO&lt;&gt;"manual",$M111&lt;&gt;1)), IF(Import.TipoArredondamento&lt;&gt;"TransfereGOV", ROUND(OFFSET($P111,0,AD$13),15-13*ORÇAMENTO!$AF$7)/$H111*OFFSET(ORÇAMENTO!$X$15,ROW(AD111)-ROW(AD$15),0), ROUND(ROUND(OFFSET($P111,0,AD$13),15-13*ORÇAMENTO!$AF$7)*OFFSET(ORÇAMENTO!$W$15,ROW(AD111)-ROW(AD$15),0),15-13*ORÇAMENTO!$AF$11)),0)</f>
        <v>0</v>
      </c>
      <c r="AE111" s="545">
        <f ca="1">IF(AND($D111="Serviço",AE$12&lt;&gt;0,$H111&gt;0,OR(AUTOEVENTO&lt;&gt;"manual",$M111&lt;&gt;1)), IF(Import.TipoArredondamento&lt;&gt;"TransfereGOV", ROUND(OFFSET($P111,0,AE$13),15-13*ORÇAMENTO!$AF$7)/$H111*OFFSET(ORÇAMENTO!$X$15,ROW(AE111)-ROW(AE$15),0), ROUND(ROUND(OFFSET($P111,0,AE$13),15-13*ORÇAMENTO!$AF$7)*OFFSET(ORÇAMENTO!$W$15,ROW(AE111)-ROW(AE$15),0),15-13*ORÇAMENTO!$AF$11)),0)</f>
        <v>0</v>
      </c>
      <c r="AF111" s="545">
        <f ca="1">IF(AND($D111="Serviço",AF$12&lt;&gt;0,$H111&gt;0,OR(AUTOEVENTO&lt;&gt;"manual",$M111&lt;&gt;1)), IF(Import.TipoArredondamento&lt;&gt;"TransfereGOV", ROUND(OFFSET($P111,0,AF$13),15-13*ORÇAMENTO!$AF$7)/$H111*OFFSET(ORÇAMENTO!$X$15,ROW(AF111)-ROW(AF$15),0), ROUND(ROUND(OFFSET($P111,0,AF$13),15-13*ORÇAMENTO!$AF$7)*OFFSET(ORÇAMENTO!$W$15,ROW(AF111)-ROW(AF$15),0),15-13*ORÇAMENTO!$AF$11)),0)</f>
        <v>0</v>
      </c>
      <c r="AG111" s="545">
        <f ca="1">IF(AND($D111="Serviço",AG$12&lt;&gt;0,$H111&gt;0,OR(AUTOEVENTO&lt;&gt;"manual",$M111&lt;&gt;1)), IF(Import.TipoArredondamento&lt;&gt;"TransfereGOV", ROUND(OFFSET($P111,0,AG$13),15-13*ORÇAMENTO!$AF$7)/$H111*OFFSET(ORÇAMENTO!$X$15,ROW(AG111)-ROW(AG$15),0), ROUND(ROUND(OFFSET($P111,0,AG$13),15-13*ORÇAMENTO!$AF$7)*OFFSET(ORÇAMENTO!$W$15,ROW(AG111)-ROW(AG$15),0),15-13*ORÇAMENTO!$AF$11)),0)</f>
        <v>0</v>
      </c>
      <c r="AH111" s="545">
        <f ca="1">IF(AND($D111="Serviço",AH$12&lt;&gt;0,$H111&gt;0,OR(AUTOEVENTO&lt;&gt;"manual",$M111&lt;&gt;1)), IF(Import.TipoArredondamento&lt;&gt;"TransfereGOV", ROUND(OFFSET($P111,0,AH$13),15-13*ORÇAMENTO!$AF$7)/$H111*OFFSET(ORÇAMENTO!$X$15,ROW(AH111)-ROW(AH$15),0), ROUND(ROUND(OFFSET($P111,0,AH$13),15-13*ORÇAMENTO!$AF$7)*OFFSET(ORÇAMENTO!$W$15,ROW(AH111)-ROW(AH$15),0),15-13*ORÇAMENTO!$AF$11)),0)</f>
        <v>0</v>
      </c>
      <c r="AI111" s="545">
        <f ca="1">IF(AND($D111="Serviço",AI$12&lt;&gt;0,$H111&gt;0,OR(AUTOEVENTO&lt;&gt;"manual",$M111&lt;&gt;1)), IF(Import.TipoArredondamento&lt;&gt;"TransfereGOV", ROUND(OFFSET($P111,0,AI$13),15-13*ORÇAMENTO!$AF$7)/$H111*OFFSET(ORÇAMENTO!$X$15,ROW(AI111)-ROW(AI$15),0), ROUND(ROUND(OFFSET($P111,0,AI$13),15-13*ORÇAMENTO!$AF$7)*OFFSET(ORÇAMENTO!$W$15,ROW(AI111)-ROW(AI$15),0),15-13*ORÇAMENTO!$AF$11)),0)</f>
        <v>0</v>
      </c>
      <c r="AJ111" s="545">
        <f ca="1">IF(AND($D111="Serviço",AJ$12&lt;&gt;0,$H111&gt;0,OR(AUTOEVENTO&lt;&gt;"manual",$M111&lt;&gt;1)), IF(Import.TipoArredondamento&lt;&gt;"TransfereGOV", ROUND(OFFSET($P111,0,AJ$13),15-13*ORÇAMENTO!$AF$7)/$H111*OFFSET(ORÇAMENTO!$X$15,ROW(AJ111)-ROW(AJ$15),0), ROUND(ROUND(OFFSET($P111,0,AJ$13),15-13*ORÇAMENTO!$AF$7)*OFFSET(ORÇAMENTO!$W$15,ROW(AJ111)-ROW(AJ$15),0),15-13*ORÇAMENTO!$AF$11)),0)</f>
        <v>0</v>
      </c>
      <c r="AK111" s="546">
        <f ca="1">IF(AND($D111="Serviço",AK$12&lt;&gt;0,$H111&gt;0,OR(AUTOEVENTO&lt;&gt;"manual",$M111&lt;&gt;1)), IF(Import.TipoArredondamento&lt;&gt;"TransfereGOV", ROUND(OFFSET($P111,0,AK$13),15-13*ORÇAMENTO!$AF$7)/$H111*OFFSET(ORÇAMENTO!$X$15,ROW(AK111)-ROW(AK$15),0), ROUND(ROUND(OFFSET($P111,0,AK$13),15-13*ORÇAMENTO!$AF$7)*OFFSET(ORÇAMENTO!$W$15,ROW(AK111)-ROW(AK$15),0),15-13*ORÇAMENTO!$AF$11)),0)</f>
        <v>0</v>
      </c>
      <c r="AM111" s="181">
        <f ca="1">IF($D111&lt;&gt;"Serviço",0,IF(AND(AUTOEVENTO="Manual",$M111=1),0,IF(OFFSET(CRONOPLE!$F$14,$M111,AM$13)="",10^12,OFFSET(CRONOPLE!$F$14,$M111,AM$13))))</f>
        <v>1000000000000</v>
      </c>
      <c r="AN111" s="181">
        <f ca="1">IF($D111&lt;&gt;"Serviço",0,IF(AND(AUTOEVENTO="Manual",$M111=1),0,IF(OFFSET(CRONOPLE!$F$14,$M111,AN$13)="",10^12,OFFSET(CRONOPLE!$F$14,$M111,AN$13))))</f>
        <v>1000000000000</v>
      </c>
      <c r="AO111" s="181">
        <f ca="1">IF($D111&lt;&gt;"Serviço",0,IF(AND(AUTOEVENTO="Manual",$M111=1),0,IF(OFFSET(CRONOPLE!$F$14,$M111,AO$13)="",10^12,OFFSET(CRONOPLE!$F$14,$M111,AO$13))))</f>
        <v>1000000000000</v>
      </c>
      <c r="AP111" s="181">
        <f ca="1">IF($D111&lt;&gt;"Serviço",0,IF(AND(AUTOEVENTO="Manual",$M111=1),0,IF(OFFSET(CRONOPLE!$F$14,$M111,AP$13)="",10^12,OFFSET(CRONOPLE!$F$14,$M111,AP$13))))</f>
        <v>1000000000000</v>
      </c>
      <c r="AQ111" s="181">
        <f ca="1">IF($D111&lt;&gt;"Serviço",0,IF(AND(AUTOEVENTO="Manual",$M111=1),0,IF(OFFSET(CRONOPLE!$F$14,$M111,AQ$13)="",10^12,OFFSET(CRONOPLE!$F$14,$M111,AQ$13))))</f>
        <v>1000000000000</v>
      </c>
      <c r="AR111" s="181">
        <f ca="1">IF($D111&lt;&gt;"Serviço",0,IF(AND(AUTOEVENTO="Manual",$M111=1),0,IF(OFFSET(CRONOPLE!$F$14,$M111,AR$13)="",10^12,OFFSET(CRONOPLE!$F$14,$M111,AR$13))))</f>
        <v>1000000000000</v>
      </c>
      <c r="AS111" s="181">
        <f ca="1">IF($D111&lt;&gt;"Serviço",0,IF(AND(AUTOEVENTO="Manual",$M111=1),0,IF(OFFSET(CRONOPLE!$F$14,$M111,AS$13)="",10^12,OFFSET(CRONOPLE!$F$14,$M111,AS$13))))</f>
        <v>1000000000000</v>
      </c>
      <c r="AT111" s="181">
        <f ca="1">IF($D111&lt;&gt;"Serviço",0,IF(AND(AUTOEVENTO="Manual",$M111=1),0,IF(OFFSET(CRONOPLE!$F$14,$M111,AT$13)="",10^12,OFFSET(CRONOPLE!$F$14,$M111,AT$13))))</f>
        <v>1000000000000</v>
      </c>
      <c r="AU111" s="181">
        <f ca="1">IF($D111&lt;&gt;"Serviço",0,IF(AND(AUTOEVENTO="Manual",$M111=1),0,IF(OFFSET(CRONOPLE!$F$14,$M111,AU$13)="",10^12,OFFSET(CRONOPLE!$F$14,$M111,AU$13))))</f>
        <v>1000000000000</v>
      </c>
      <c r="AV111" s="181">
        <f ca="1">IF($D111&lt;&gt;"Serviço",0,IF(AND(AUTOEVENTO="Manual",$M111=1),0,IF(OFFSET(CRONOPLE!$F$14,$M111,AV$13)="",10^12,OFFSET(CRONOPLE!$F$14,$M111,AV$13))))</f>
        <v>1000000000000</v>
      </c>
      <c r="AX111" s="182">
        <f ca="1">IF($D111&lt;&gt;"Serviço",0,IF(OR(AND(AUTOEVENTO="Manual",$M111=1),$M111&gt;(ROW(PLE.lastrow)-ROW(PLE.firstrow))),0,IF(OFFSET(PLE!$G$14,$M111,AX$13)="",10^12,OFFSET(PLE!$G$14,$M111,AX$13))))</f>
        <v>1000000000000</v>
      </c>
      <c r="AY111" s="182">
        <f ca="1">IF($D111&lt;&gt;"Serviço",0,IF(OR(AND(AUTOEVENTO="Manual",$M111=1),$M111&gt;(ROW(PLE.lastrow)-ROW(PLE.firstrow))),0,IF(OFFSET(PLE!$G$14,$M111,AY$13)="",10^12,OFFSET(PLE!$G$14,$M111,AY$13))))</f>
        <v>1000000000000</v>
      </c>
      <c r="AZ111" s="182">
        <f ca="1">IF($D111&lt;&gt;"Serviço",0,IF(OR(AND(AUTOEVENTO="Manual",$M111=1),$M111&gt;(ROW(PLE.lastrow)-ROW(PLE.firstrow))),0,IF(OFFSET(PLE!$G$14,$M111,AZ$13)="",10^12,OFFSET(PLE!$G$14,$M111,AZ$13))))</f>
        <v>1000000000000</v>
      </c>
      <c r="BA111" s="182">
        <f ca="1">IF($D111&lt;&gt;"Serviço",0,IF(OR(AND(AUTOEVENTO="Manual",$M111=1),$M111&gt;(ROW(PLE.lastrow)-ROW(PLE.firstrow))),0,IF(OFFSET(PLE!$G$14,$M111,BA$13)="",10^12,OFFSET(PLE!$G$14,$M111,BA$13))))</f>
        <v>1000000000000</v>
      </c>
      <c r="BB111" s="182">
        <f ca="1">IF($D111&lt;&gt;"Serviço",0,IF(OR(AND(AUTOEVENTO="Manual",$M111=1),$M111&gt;(ROW(PLE.lastrow)-ROW(PLE.firstrow))),0,IF(OFFSET(PLE!$G$14,$M111,BB$13)="",10^12,OFFSET(PLE!$G$14,$M111,BB$13))))</f>
        <v>1000000000000</v>
      </c>
      <c r="BC111" s="182">
        <f ca="1">IF($D111&lt;&gt;"Serviço",0,IF(OR(AND(AUTOEVENTO="Manual",$M111=1),$M111&gt;(ROW(PLE.lastrow)-ROW(PLE.firstrow))),0,IF(OFFSET(PLE!$G$14,$M111,BC$13)="",10^12,OFFSET(PLE!$G$14,$M111,BC$13))))</f>
        <v>1000000000000</v>
      </c>
      <c r="BD111" s="182">
        <f ca="1">IF($D111&lt;&gt;"Serviço",0,IF(OR(AND(AUTOEVENTO="Manual",$M111=1),$M111&gt;(ROW(PLE.lastrow)-ROW(PLE.firstrow))),0,IF(OFFSET(PLE!$G$14,$M111,BD$13)="",10^12,OFFSET(PLE!$G$14,$M111,BD$13))))</f>
        <v>1000000000000</v>
      </c>
      <c r="BE111" s="182">
        <f ca="1">IF($D111&lt;&gt;"Serviço",0,IF(OR(AND(AUTOEVENTO="Manual",$M111=1),$M111&gt;(ROW(PLE.lastrow)-ROW(PLE.firstrow))),0,IF(OFFSET(PLE!$G$14,$M111,BE$13)="",10^12,OFFSET(PLE!$G$14,$M111,BE$13))))</f>
        <v>1000000000000</v>
      </c>
      <c r="BF111" s="182">
        <f ca="1">IF($D111&lt;&gt;"Serviço",0,IF(OR(AND(AUTOEVENTO="Manual",$M111=1),$M111&gt;(ROW(PLE.lastrow)-ROW(PLE.firstrow))),0,IF(OFFSET(PLE!$G$14,$M111,BF$13)="",10^12,OFFSET(PLE!$G$14,$M111,BF$13))))</f>
        <v>1000000000000</v>
      </c>
      <c r="BG111" s="182">
        <f ca="1">IF($D111&lt;&gt;"Serviço",0,IF(OR(AND(AUTOEVENTO="Manual",$M111=1),$M111&gt;(ROW(PLE.lastrow)-ROW(PLE.firstrow))),0,IF(OFFSET(PLE!$G$14,$M111,BG$13)="",10^12,OFFSET(PLE!$G$14,$M111,BG$13))))</f>
        <v>1000000000000</v>
      </c>
    </row>
    <row r="112" spans="1:59" s="577" customFormat="1" ht="25.5" x14ac:dyDescent="0.2">
      <c r="A112" s="7" t="str">
        <f t="shared" ca="1" si="10"/>
        <v>89</v>
      </c>
      <c r="B112" s="7" t="str">
        <f ca="1">OFFSET(ORÇAMENTO!C$15,ROW(B112)-ROW(B$15),0)</f>
        <v>S</v>
      </c>
      <c r="C112" s="7" t="str">
        <f ca="1">OFFSET(ORÇAMENTO!L$15,ROW(C112)-ROW(C$15),0)</f>
        <v>F</v>
      </c>
      <c r="D112" s="118" t="str">
        <f ca="1">OFFSET(ORÇAMENTO!N$15,ROW(D112)-ROW(D$15),0)</f>
        <v>Serviço</v>
      </c>
      <c r="E112" s="119" t="str">
        <f ca="1">OFFSET(ORÇAMENTO!O$15,ROW(E112)-ROW(E$15),0)</f>
        <v>3.4.8.</v>
      </c>
      <c r="F112" s="172" t="str">
        <f ca="1">OFFSET(ORÇAMENTO!R$15,ROW(F112)-ROW(F$15),0)</f>
        <v>Transporte de material betuminoso com caminhão tanque distribuidor - rodovia pavimentada</v>
      </c>
      <c r="G112" s="173" t="str">
        <f ca="1">IF($D112&lt;&gt;"Serviço","",OFFSET(ORÇAMENTO!S$15,ROW(G112)-ROW(G$15),0))</f>
        <v>tkm</v>
      </c>
      <c r="H112" s="124">
        <f ca="1">IF($D112&lt;&gt;"Serviço",0,IF(ACOMPANHAMENTO="BM",ROUND(OFFSET(ORÇAMENTO!AJ$15,ROW(H112)-ROW(H$15),0),15-13*ORÇAMENTO!$AF$7),SUMPRODUCT(($Q$12:$AA$12&lt;&gt;"")*ROUND($Q112:$AA112,15-13*ORÇAMENTO!$AF$7))))</f>
        <v>11486.4</v>
      </c>
      <c r="I112" s="561"/>
      <c r="K112" s="174"/>
      <c r="L112" s="175" t="s">
        <v>255</v>
      </c>
      <c r="M112" s="176">
        <f ca="1">IF($D112&lt;&gt;"Serviço","",IF(AUTOEVENTO="manual",$A112,IF(ISERROR(MATCH($A112,$A$15:OFFSET($A112,-1,0),0)),MAX($M$15:OFFSET(M112,-1,0))+1,INDEX($M$15:OFFSET(M112,-1,0),MATCH($A112,$A$15:OFFSET($A112,-1,0),0)))))</f>
        <v>15</v>
      </c>
      <c r="N112" s="177" t="str">
        <f ca="1">IF($D112&lt;&gt;"Serviço","",IF(AUTOEVENTO="Manual",IF($A112=0,"&lt;-- defina o número do agrupador",OFFSET(EVENTOS!$D$14,$A112,0)),OFFSET($F$15,$A112,0)))</f>
        <v>PAVIMENTAÇÃO</v>
      </c>
      <c r="O112" s="178"/>
      <c r="Q112" s="178"/>
      <c r="R112" s="179"/>
      <c r="S112" s="179"/>
      <c r="T112" s="179"/>
      <c r="U112" s="179"/>
      <c r="V112" s="179"/>
      <c r="W112" s="179"/>
      <c r="X112" s="179"/>
      <c r="Y112" s="179"/>
      <c r="Z112" s="180"/>
      <c r="AB112" s="544">
        <f ca="1">IF(AND($D112="Serviço",AB$12&lt;&gt;0,$H112&gt;0,OR(AUTOEVENTO&lt;&gt;"manual",$M112&lt;&gt;1)), IF(Import.TipoArredondamento&lt;&gt;"TransfereGOV", ROUND(OFFSET($P112,0,AB$13),15-13*ORÇAMENTO!$AF$7)/$H112*OFFSET(ORÇAMENTO!$X$15,ROW(AB112)-ROW(AB$15),0), ROUND(ROUND(OFFSET($P112,0,AB$13),15-13*ORÇAMENTO!$AF$7)*OFFSET(ORÇAMENTO!$W$15,ROW(AB112)-ROW(AB$15),0),15-13*ORÇAMENTO!$AF$11)),0)</f>
        <v>0</v>
      </c>
      <c r="AC112" s="545">
        <f ca="1">IF(AND($D112="Serviço",AC$12&lt;&gt;0,$H112&gt;0,OR(AUTOEVENTO&lt;&gt;"manual",$M112&lt;&gt;1)), IF(Import.TipoArredondamento&lt;&gt;"TransfereGOV", ROUND(OFFSET($P112,0,AC$13),15-13*ORÇAMENTO!$AF$7)/$H112*OFFSET(ORÇAMENTO!$X$15,ROW(AC112)-ROW(AC$15),0), ROUND(ROUND(OFFSET($P112,0,AC$13),15-13*ORÇAMENTO!$AF$7)*OFFSET(ORÇAMENTO!$W$15,ROW(AC112)-ROW(AC$15),0),15-13*ORÇAMENTO!$AF$11)),0)</f>
        <v>0</v>
      </c>
      <c r="AD112" s="545">
        <f ca="1">IF(AND($D112="Serviço",AD$12&lt;&gt;0,$H112&gt;0,OR(AUTOEVENTO&lt;&gt;"manual",$M112&lt;&gt;1)), IF(Import.TipoArredondamento&lt;&gt;"TransfereGOV", ROUND(OFFSET($P112,0,AD$13),15-13*ORÇAMENTO!$AF$7)/$H112*OFFSET(ORÇAMENTO!$X$15,ROW(AD112)-ROW(AD$15),0), ROUND(ROUND(OFFSET($P112,0,AD$13),15-13*ORÇAMENTO!$AF$7)*OFFSET(ORÇAMENTO!$W$15,ROW(AD112)-ROW(AD$15),0),15-13*ORÇAMENTO!$AF$11)),0)</f>
        <v>0</v>
      </c>
      <c r="AE112" s="545">
        <f ca="1">IF(AND($D112="Serviço",AE$12&lt;&gt;0,$H112&gt;0,OR(AUTOEVENTO&lt;&gt;"manual",$M112&lt;&gt;1)), IF(Import.TipoArredondamento&lt;&gt;"TransfereGOV", ROUND(OFFSET($P112,0,AE$13),15-13*ORÇAMENTO!$AF$7)/$H112*OFFSET(ORÇAMENTO!$X$15,ROW(AE112)-ROW(AE$15),0), ROUND(ROUND(OFFSET($P112,0,AE$13),15-13*ORÇAMENTO!$AF$7)*OFFSET(ORÇAMENTO!$W$15,ROW(AE112)-ROW(AE$15),0),15-13*ORÇAMENTO!$AF$11)),0)</f>
        <v>0</v>
      </c>
      <c r="AF112" s="545">
        <f ca="1">IF(AND($D112="Serviço",AF$12&lt;&gt;0,$H112&gt;0,OR(AUTOEVENTO&lt;&gt;"manual",$M112&lt;&gt;1)), IF(Import.TipoArredondamento&lt;&gt;"TransfereGOV", ROUND(OFFSET($P112,0,AF$13),15-13*ORÇAMENTO!$AF$7)/$H112*OFFSET(ORÇAMENTO!$X$15,ROW(AF112)-ROW(AF$15),0), ROUND(ROUND(OFFSET($P112,0,AF$13),15-13*ORÇAMENTO!$AF$7)*OFFSET(ORÇAMENTO!$W$15,ROW(AF112)-ROW(AF$15),0),15-13*ORÇAMENTO!$AF$11)),0)</f>
        <v>0</v>
      </c>
      <c r="AG112" s="545">
        <f ca="1">IF(AND($D112="Serviço",AG$12&lt;&gt;0,$H112&gt;0,OR(AUTOEVENTO&lt;&gt;"manual",$M112&lt;&gt;1)), IF(Import.TipoArredondamento&lt;&gt;"TransfereGOV", ROUND(OFFSET($P112,0,AG$13),15-13*ORÇAMENTO!$AF$7)/$H112*OFFSET(ORÇAMENTO!$X$15,ROW(AG112)-ROW(AG$15),0), ROUND(ROUND(OFFSET($P112,0,AG$13),15-13*ORÇAMENTO!$AF$7)*OFFSET(ORÇAMENTO!$W$15,ROW(AG112)-ROW(AG$15),0),15-13*ORÇAMENTO!$AF$11)),0)</f>
        <v>0</v>
      </c>
      <c r="AH112" s="545">
        <f ca="1">IF(AND($D112="Serviço",AH$12&lt;&gt;0,$H112&gt;0,OR(AUTOEVENTO&lt;&gt;"manual",$M112&lt;&gt;1)), IF(Import.TipoArredondamento&lt;&gt;"TransfereGOV", ROUND(OFFSET($P112,0,AH$13),15-13*ORÇAMENTO!$AF$7)/$H112*OFFSET(ORÇAMENTO!$X$15,ROW(AH112)-ROW(AH$15),0), ROUND(ROUND(OFFSET($P112,0,AH$13),15-13*ORÇAMENTO!$AF$7)*OFFSET(ORÇAMENTO!$W$15,ROW(AH112)-ROW(AH$15),0),15-13*ORÇAMENTO!$AF$11)),0)</f>
        <v>0</v>
      </c>
      <c r="AI112" s="545">
        <f ca="1">IF(AND($D112="Serviço",AI$12&lt;&gt;0,$H112&gt;0,OR(AUTOEVENTO&lt;&gt;"manual",$M112&lt;&gt;1)), IF(Import.TipoArredondamento&lt;&gt;"TransfereGOV", ROUND(OFFSET($P112,0,AI$13),15-13*ORÇAMENTO!$AF$7)/$H112*OFFSET(ORÇAMENTO!$X$15,ROW(AI112)-ROW(AI$15),0), ROUND(ROUND(OFFSET($P112,0,AI$13),15-13*ORÇAMENTO!$AF$7)*OFFSET(ORÇAMENTO!$W$15,ROW(AI112)-ROW(AI$15),0),15-13*ORÇAMENTO!$AF$11)),0)</f>
        <v>0</v>
      </c>
      <c r="AJ112" s="545">
        <f ca="1">IF(AND($D112="Serviço",AJ$12&lt;&gt;0,$H112&gt;0,OR(AUTOEVENTO&lt;&gt;"manual",$M112&lt;&gt;1)), IF(Import.TipoArredondamento&lt;&gt;"TransfereGOV", ROUND(OFFSET($P112,0,AJ$13),15-13*ORÇAMENTO!$AF$7)/$H112*OFFSET(ORÇAMENTO!$X$15,ROW(AJ112)-ROW(AJ$15),0), ROUND(ROUND(OFFSET($P112,0,AJ$13),15-13*ORÇAMENTO!$AF$7)*OFFSET(ORÇAMENTO!$W$15,ROW(AJ112)-ROW(AJ$15),0),15-13*ORÇAMENTO!$AF$11)),0)</f>
        <v>0</v>
      </c>
      <c r="AK112" s="546">
        <f ca="1">IF(AND($D112="Serviço",AK$12&lt;&gt;0,$H112&gt;0,OR(AUTOEVENTO&lt;&gt;"manual",$M112&lt;&gt;1)), IF(Import.TipoArredondamento&lt;&gt;"TransfereGOV", ROUND(OFFSET($P112,0,AK$13),15-13*ORÇAMENTO!$AF$7)/$H112*OFFSET(ORÇAMENTO!$X$15,ROW(AK112)-ROW(AK$15),0), ROUND(ROUND(OFFSET($P112,0,AK$13),15-13*ORÇAMENTO!$AF$7)*OFFSET(ORÇAMENTO!$W$15,ROW(AK112)-ROW(AK$15),0),15-13*ORÇAMENTO!$AF$11)),0)</f>
        <v>0</v>
      </c>
      <c r="AM112" s="181">
        <f ca="1">IF($D112&lt;&gt;"Serviço",0,IF(AND(AUTOEVENTO="Manual",$M112=1),0,IF(OFFSET(CRONOPLE!$F$14,$M112,AM$13)="",10^12,OFFSET(CRONOPLE!$F$14,$M112,AM$13))))</f>
        <v>1000000000000</v>
      </c>
      <c r="AN112" s="181">
        <f ca="1">IF($D112&lt;&gt;"Serviço",0,IF(AND(AUTOEVENTO="Manual",$M112=1),0,IF(OFFSET(CRONOPLE!$F$14,$M112,AN$13)="",10^12,OFFSET(CRONOPLE!$F$14,$M112,AN$13))))</f>
        <v>1000000000000</v>
      </c>
      <c r="AO112" s="181">
        <f ca="1">IF($D112&lt;&gt;"Serviço",0,IF(AND(AUTOEVENTO="Manual",$M112=1),0,IF(OFFSET(CRONOPLE!$F$14,$M112,AO$13)="",10^12,OFFSET(CRONOPLE!$F$14,$M112,AO$13))))</f>
        <v>1000000000000</v>
      </c>
      <c r="AP112" s="181">
        <f ca="1">IF($D112&lt;&gt;"Serviço",0,IF(AND(AUTOEVENTO="Manual",$M112=1),0,IF(OFFSET(CRONOPLE!$F$14,$M112,AP$13)="",10^12,OFFSET(CRONOPLE!$F$14,$M112,AP$13))))</f>
        <v>1000000000000</v>
      </c>
      <c r="AQ112" s="181">
        <f ca="1">IF($D112&lt;&gt;"Serviço",0,IF(AND(AUTOEVENTO="Manual",$M112=1),0,IF(OFFSET(CRONOPLE!$F$14,$M112,AQ$13)="",10^12,OFFSET(CRONOPLE!$F$14,$M112,AQ$13))))</f>
        <v>1000000000000</v>
      </c>
      <c r="AR112" s="181">
        <f ca="1">IF($D112&lt;&gt;"Serviço",0,IF(AND(AUTOEVENTO="Manual",$M112=1),0,IF(OFFSET(CRONOPLE!$F$14,$M112,AR$13)="",10^12,OFFSET(CRONOPLE!$F$14,$M112,AR$13))))</f>
        <v>1000000000000</v>
      </c>
      <c r="AS112" s="181">
        <f ca="1">IF($D112&lt;&gt;"Serviço",0,IF(AND(AUTOEVENTO="Manual",$M112=1),0,IF(OFFSET(CRONOPLE!$F$14,$M112,AS$13)="",10^12,OFFSET(CRONOPLE!$F$14,$M112,AS$13))))</f>
        <v>1000000000000</v>
      </c>
      <c r="AT112" s="181">
        <f ca="1">IF($D112&lt;&gt;"Serviço",0,IF(AND(AUTOEVENTO="Manual",$M112=1),0,IF(OFFSET(CRONOPLE!$F$14,$M112,AT$13)="",10^12,OFFSET(CRONOPLE!$F$14,$M112,AT$13))))</f>
        <v>1000000000000</v>
      </c>
      <c r="AU112" s="181">
        <f ca="1">IF($D112&lt;&gt;"Serviço",0,IF(AND(AUTOEVENTO="Manual",$M112=1),0,IF(OFFSET(CRONOPLE!$F$14,$M112,AU$13)="",10^12,OFFSET(CRONOPLE!$F$14,$M112,AU$13))))</f>
        <v>1000000000000</v>
      </c>
      <c r="AV112" s="181">
        <f ca="1">IF($D112&lt;&gt;"Serviço",0,IF(AND(AUTOEVENTO="Manual",$M112=1),0,IF(OFFSET(CRONOPLE!$F$14,$M112,AV$13)="",10^12,OFFSET(CRONOPLE!$F$14,$M112,AV$13))))</f>
        <v>1000000000000</v>
      </c>
      <c r="AX112" s="182">
        <f ca="1">IF($D112&lt;&gt;"Serviço",0,IF(OR(AND(AUTOEVENTO="Manual",$M112=1),$M112&gt;(ROW(PLE.lastrow)-ROW(PLE.firstrow))),0,IF(OFFSET(PLE!$G$14,$M112,AX$13)="",10^12,OFFSET(PLE!$G$14,$M112,AX$13))))</f>
        <v>1000000000000</v>
      </c>
      <c r="AY112" s="182">
        <f ca="1">IF($D112&lt;&gt;"Serviço",0,IF(OR(AND(AUTOEVENTO="Manual",$M112=1),$M112&gt;(ROW(PLE.lastrow)-ROW(PLE.firstrow))),0,IF(OFFSET(PLE!$G$14,$M112,AY$13)="",10^12,OFFSET(PLE!$G$14,$M112,AY$13))))</f>
        <v>1000000000000</v>
      </c>
      <c r="AZ112" s="182">
        <f ca="1">IF($D112&lt;&gt;"Serviço",0,IF(OR(AND(AUTOEVENTO="Manual",$M112=1),$M112&gt;(ROW(PLE.lastrow)-ROW(PLE.firstrow))),0,IF(OFFSET(PLE!$G$14,$M112,AZ$13)="",10^12,OFFSET(PLE!$G$14,$M112,AZ$13))))</f>
        <v>1000000000000</v>
      </c>
      <c r="BA112" s="182">
        <f ca="1">IF($D112&lt;&gt;"Serviço",0,IF(OR(AND(AUTOEVENTO="Manual",$M112=1),$M112&gt;(ROW(PLE.lastrow)-ROW(PLE.firstrow))),0,IF(OFFSET(PLE!$G$14,$M112,BA$13)="",10^12,OFFSET(PLE!$G$14,$M112,BA$13))))</f>
        <v>1000000000000</v>
      </c>
      <c r="BB112" s="182">
        <f ca="1">IF($D112&lt;&gt;"Serviço",0,IF(OR(AND(AUTOEVENTO="Manual",$M112=1),$M112&gt;(ROW(PLE.lastrow)-ROW(PLE.firstrow))),0,IF(OFFSET(PLE!$G$14,$M112,BB$13)="",10^12,OFFSET(PLE!$G$14,$M112,BB$13))))</f>
        <v>1000000000000</v>
      </c>
      <c r="BC112" s="182">
        <f ca="1">IF($D112&lt;&gt;"Serviço",0,IF(OR(AND(AUTOEVENTO="Manual",$M112=1),$M112&gt;(ROW(PLE.lastrow)-ROW(PLE.firstrow))),0,IF(OFFSET(PLE!$G$14,$M112,BC$13)="",10^12,OFFSET(PLE!$G$14,$M112,BC$13))))</f>
        <v>1000000000000</v>
      </c>
      <c r="BD112" s="182">
        <f ca="1">IF($D112&lt;&gt;"Serviço",0,IF(OR(AND(AUTOEVENTO="Manual",$M112=1),$M112&gt;(ROW(PLE.lastrow)-ROW(PLE.firstrow))),0,IF(OFFSET(PLE!$G$14,$M112,BD$13)="",10^12,OFFSET(PLE!$G$14,$M112,BD$13))))</f>
        <v>1000000000000</v>
      </c>
      <c r="BE112" s="182">
        <f ca="1">IF($D112&lt;&gt;"Serviço",0,IF(OR(AND(AUTOEVENTO="Manual",$M112=1),$M112&gt;(ROW(PLE.lastrow)-ROW(PLE.firstrow))),0,IF(OFFSET(PLE!$G$14,$M112,BE$13)="",10^12,OFFSET(PLE!$G$14,$M112,BE$13))))</f>
        <v>1000000000000</v>
      </c>
      <c r="BF112" s="182">
        <f ca="1">IF($D112&lt;&gt;"Serviço",0,IF(OR(AND(AUTOEVENTO="Manual",$M112=1),$M112&gt;(ROW(PLE.lastrow)-ROW(PLE.firstrow))),0,IF(OFFSET(PLE!$G$14,$M112,BF$13)="",10^12,OFFSET(PLE!$G$14,$M112,BF$13))))</f>
        <v>1000000000000</v>
      </c>
      <c r="BG112" s="182">
        <f ca="1">IF($D112&lt;&gt;"Serviço",0,IF(OR(AND(AUTOEVENTO="Manual",$M112=1),$M112&gt;(ROW(PLE.lastrow)-ROW(PLE.firstrow))),0,IF(OFFSET(PLE!$G$14,$M112,BG$13)="",10^12,OFFSET(PLE!$G$14,$M112,BG$13))))</f>
        <v>1000000000000</v>
      </c>
    </row>
    <row r="113" spans="1:59" ht="12.75" x14ac:dyDescent="0.2">
      <c r="A113" s="7" t="str">
        <f t="shared" ca="1" si="10"/>
        <v>98.</v>
      </c>
      <c r="B113" s="7">
        <f ca="1">OFFSET(ORÇAMENTO!C$15,ROW(B113)-ROW(B$15),0)</f>
        <v>2</v>
      </c>
      <c r="C113" s="7" t="str">
        <f ca="1">OFFSET(ORÇAMENTO!L$15,ROW(C113)-ROW(C$15),0)</f>
        <v>F</v>
      </c>
      <c r="D113" s="118" t="str">
        <f ca="1">OFFSET(ORÇAMENTO!N$15,ROW(D113)-ROW(D$15),0)</f>
        <v>Nível 2</v>
      </c>
      <c r="E113" s="119" t="str">
        <f ca="1">OFFSET(ORÇAMENTO!O$15,ROW(E113)-ROW(E$15),0)</f>
        <v>3.5.</v>
      </c>
      <c r="F113" s="172" t="str">
        <f ca="1">OFFSET(ORÇAMENTO!R$15,ROW(F113)-ROW(F$15),0)</f>
        <v>SINALIZAÇÃO</v>
      </c>
      <c r="G113" s="173" t="str">
        <f ca="1">IF($D113&lt;&gt;"Serviço","",OFFSET(ORÇAMENTO!S$15,ROW(G113)-ROW(G$15),0))</f>
        <v/>
      </c>
      <c r="H113" s="124">
        <f ca="1">IF($D113&lt;&gt;"Serviço",0,IF(ACOMPANHAMENTO="BM",ROUND(OFFSET(ORÇAMENTO!AJ$15,ROW(H113)-ROW(H$15),0),15-13*ORÇAMENTO!$AF$7),SUMPRODUCT(($Q$12:$AA$12&lt;&gt;"")*ROUND($Q113:$AA113,15-13*ORÇAMENTO!$AF$7))))</f>
        <v>0</v>
      </c>
      <c r="I113" s="561"/>
      <c r="K113" s="174"/>
      <c r="L113" s="175" t="s">
        <v>255</v>
      </c>
      <c r="M113" s="176" t="str">
        <f ca="1">IF($D113&lt;&gt;"Serviço","",IF(AUTOEVENTO="manual",$A113,IF(ISERROR(MATCH($A113,$A$15:OFFSET($A113,-1,0),0)),MAX($M$15:OFFSET(M113,-1,0))+1,INDEX($M$15:OFFSET(M113,-1,0),MATCH($A113,$A$15:OFFSET($A113,-1,0),0)))))</f>
        <v/>
      </c>
      <c r="N113" s="177" t="str">
        <f ca="1">IF($D113&lt;&gt;"Serviço","",IF(AUTOEVENTO="Manual",IF($A113=0,"&lt;-- defina o número do agrupador",OFFSET(EVENTOS!$D$14,$A113,0)),OFFSET($F$15,$A113,0)))</f>
        <v/>
      </c>
      <c r="O113" s="178"/>
      <c r="Q113" s="178"/>
      <c r="R113" s="179"/>
      <c r="S113" s="179"/>
      <c r="T113" s="179"/>
      <c r="U113" s="179"/>
      <c r="V113" s="179"/>
      <c r="W113" s="179"/>
      <c r="X113" s="179"/>
      <c r="Y113" s="179"/>
      <c r="Z113" s="180"/>
      <c r="AB113" s="544">
        <f ca="1">IF(AND($D113="Serviço",AB$12&lt;&gt;0,$H113&gt;0,OR(AUTOEVENTO&lt;&gt;"manual",$M113&lt;&gt;1)), IF(Import.TipoArredondamento&lt;&gt;"TransfereGOV", ROUND(OFFSET($P113,0,AB$13),15-13*ORÇAMENTO!$AF$7)/$H113*OFFSET(ORÇAMENTO!$X$15,ROW(AB113)-ROW(AB$15),0), ROUND(ROUND(OFFSET($P113,0,AB$13),15-13*ORÇAMENTO!$AF$7)*OFFSET(ORÇAMENTO!$W$15,ROW(AB113)-ROW(AB$15),0),15-13*ORÇAMENTO!$AF$11)),0)</f>
        <v>0</v>
      </c>
      <c r="AC113" s="545">
        <f ca="1">IF(AND($D113="Serviço",AC$12&lt;&gt;0,$H113&gt;0,OR(AUTOEVENTO&lt;&gt;"manual",$M113&lt;&gt;1)), IF(Import.TipoArredondamento&lt;&gt;"TransfereGOV", ROUND(OFFSET($P113,0,AC$13),15-13*ORÇAMENTO!$AF$7)/$H113*OFFSET(ORÇAMENTO!$X$15,ROW(AC113)-ROW(AC$15),0), ROUND(ROUND(OFFSET($P113,0,AC$13),15-13*ORÇAMENTO!$AF$7)*OFFSET(ORÇAMENTO!$W$15,ROW(AC113)-ROW(AC$15),0),15-13*ORÇAMENTO!$AF$11)),0)</f>
        <v>0</v>
      </c>
      <c r="AD113" s="545">
        <f ca="1">IF(AND($D113="Serviço",AD$12&lt;&gt;0,$H113&gt;0,OR(AUTOEVENTO&lt;&gt;"manual",$M113&lt;&gt;1)), IF(Import.TipoArredondamento&lt;&gt;"TransfereGOV", ROUND(OFFSET($P113,0,AD$13),15-13*ORÇAMENTO!$AF$7)/$H113*OFFSET(ORÇAMENTO!$X$15,ROW(AD113)-ROW(AD$15),0), ROUND(ROUND(OFFSET($P113,0,AD$13),15-13*ORÇAMENTO!$AF$7)*OFFSET(ORÇAMENTO!$W$15,ROW(AD113)-ROW(AD$15),0),15-13*ORÇAMENTO!$AF$11)),0)</f>
        <v>0</v>
      </c>
      <c r="AE113" s="545">
        <f ca="1">IF(AND($D113="Serviço",AE$12&lt;&gt;0,$H113&gt;0,OR(AUTOEVENTO&lt;&gt;"manual",$M113&lt;&gt;1)), IF(Import.TipoArredondamento&lt;&gt;"TransfereGOV", ROUND(OFFSET($P113,0,AE$13),15-13*ORÇAMENTO!$AF$7)/$H113*OFFSET(ORÇAMENTO!$X$15,ROW(AE113)-ROW(AE$15),0), ROUND(ROUND(OFFSET($P113,0,AE$13),15-13*ORÇAMENTO!$AF$7)*OFFSET(ORÇAMENTO!$W$15,ROW(AE113)-ROW(AE$15),0),15-13*ORÇAMENTO!$AF$11)),0)</f>
        <v>0</v>
      </c>
      <c r="AF113" s="545">
        <f ca="1">IF(AND($D113="Serviço",AF$12&lt;&gt;0,$H113&gt;0,OR(AUTOEVENTO&lt;&gt;"manual",$M113&lt;&gt;1)), IF(Import.TipoArredondamento&lt;&gt;"TransfereGOV", ROUND(OFFSET($P113,0,AF$13),15-13*ORÇAMENTO!$AF$7)/$H113*OFFSET(ORÇAMENTO!$X$15,ROW(AF113)-ROW(AF$15),0), ROUND(ROUND(OFFSET($P113,0,AF$13),15-13*ORÇAMENTO!$AF$7)*OFFSET(ORÇAMENTO!$W$15,ROW(AF113)-ROW(AF$15),0),15-13*ORÇAMENTO!$AF$11)),0)</f>
        <v>0</v>
      </c>
      <c r="AG113" s="545">
        <f ca="1">IF(AND($D113="Serviço",AG$12&lt;&gt;0,$H113&gt;0,OR(AUTOEVENTO&lt;&gt;"manual",$M113&lt;&gt;1)), IF(Import.TipoArredondamento&lt;&gt;"TransfereGOV", ROUND(OFFSET($P113,0,AG$13),15-13*ORÇAMENTO!$AF$7)/$H113*OFFSET(ORÇAMENTO!$X$15,ROW(AG113)-ROW(AG$15),0), ROUND(ROUND(OFFSET($P113,0,AG$13),15-13*ORÇAMENTO!$AF$7)*OFFSET(ORÇAMENTO!$W$15,ROW(AG113)-ROW(AG$15),0),15-13*ORÇAMENTO!$AF$11)),0)</f>
        <v>0</v>
      </c>
      <c r="AH113" s="545">
        <f ca="1">IF(AND($D113="Serviço",AH$12&lt;&gt;0,$H113&gt;0,OR(AUTOEVENTO&lt;&gt;"manual",$M113&lt;&gt;1)), IF(Import.TipoArredondamento&lt;&gt;"TransfereGOV", ROUND(OFFSET($P113,0,AH$13),15-13*ORÇAMENTO!$AF$7)/$H113*OFFSET(ORÇAMENTO!$X$15,ROW(AH113)-ROW(AH$15),0), ROUND(ROUND(OFFSET($P113,0,AH$13),15-13*ORÇAMENTO!$AF$7)*OFFSET(ORÇAMENTO!$W$15,ROW(AH113)-ROW(AH$15),0),15-13*ORÇAMENTO!$AF$11)),0)</f>
        <v>0</v>
      </c>
      <c r="AI113" s="545">
        <f ca="1">IF(AND($D113="Serviço",AI$12&lt;&gt;0,$H113&gt;0,OR(AUTOEVENTO&lt;&gt;"manual",$M113&lt;&gt;1)), IF(Import.TipoArredondamento&lt;&gt;"TransfereGOV", ROUND(OFFSET($P113,0,AI$13),15-13*ORÇAMENTO!$AF$7)/$H113*OFFSET(ORÇAMENTO!$X$15,ROW(AI113)-ROW(AI$15),0), ROUND(ROUND(OFFSET($P113,0,AI$13),15-13*ORÇAMENTO!$AF$7)*OFFSET(ORÇAMENTO!$W$15,ROW(AI113)-ROW(AI$15),0),15-13*ORÇAMENTO!$AF$11)),0)</f>
        <v>0</v>
      </c>
      <c r="AJ113" s="545">
        <f ca="1">IF(AND($D113="Serviço",AJ$12&lt;&gt;0,$H113&gt;0,OR(AUTOEVENTO&lt;&gt;"manual",$M113&lt;&gt;1)), IF(Import.TipoArredondamento&lt;&gt;"TransfereGOV", ROUND(OFFSET($P113,0,AJ$13),15-13*ORÇAMENTO!$AF$7)/$H113*OFFSET(ORÇAMENTO!$X$15,ROW(AJ113)-ROW(AJ$15),0), ROUND(ROUND(OFFSET($P113,0,AJ$13),15-13*ORÇAMENTO!$AF$7)*OFFSET(ORÇAMENTO!$W$15,ROW(AJ113)-ROW(AJ$15),0),15-13*ORÇAMENTO!$AF$11)),0)</f>
        <v>0</v>
      </c>
      <c r="AK113" s="546">
        <f ca="1">IF(AND($D113="Serviço",AK$12&lt;&gt;0,$H113&gt;0,OR(AUTOEVENTO&lt;&gt;"manual",$M113&lt;&gt;1)), IF(Import.TipoArredondamento&lt;&gt;"TransfereGOV", ROUND(OFFSET($P113,0,AK$13),15-13*ORÇAMENTO!$AF$7)/$H113*OFFSET(ORÇAMENTO!$X$15,ROW(AK113)-ROW(AK$15),0), ROUND(ROUND(OFFSET($P113,0,AK$13),15-13*ORÇAMENTO!$AF$7)*OFFSET(ORÇAMENTO!$W$15,ROW(AK113)-ROW(AK$15),0),15-13*ORÇAMENTO!$AF$11)),0)</f>
        <v>0</v>
      </c>
      <c r="AM113" s="181">
        <f ca="1">IF($D113&lt;&gt;"Serviço",0,IF(AND(AUTOEVENTO="Manual",$M113=1),0,IF(OFFSET(CRONOPLE!$F$14,$M113,AM$13)="",10^12,OFFSET(CRONOPLE!$F$14,$M113,AM$13))))</f>
        <v>0</v>
      </c>
      <c r="AN113" s="181">
        <f ca="1">IF($D113&lt;&gt;"Serviço",0,IF(AND(AUTOEVENTO="Manual",$M113=1),0,IF(OFFSET(CRONOPLE!$F$14,$M113,AN$13)="",10^12,OFFSET(CRONOPLE!$F$14,$M113,AN$13))))</f>
        <v>0</v>
      </c>
      <c r="AO113" s="181">
        <f ca="1">IF($D113&lt;&gt;"Serviço",0,IF(AND(AUTOEVENTO="Manual",$M113=1),0,IF(OFFSET(CRONOPLE!$F$14,$M113,AO$13)="",10^12,OFFSET(CRONOPLE!$F$14,$M113,AO$13))))</f>
        <v>0</v>
      </c>
      <c r="AP113" s="181">
        <f ca="1">IF($D113&lt;&gt;"Serviço",0,IF(AND(AUTOEVENTO="Manual",$M113=1),0,IF(OFFSET(CRONOPLE!$F$14,$M113,AP$13)="",10^12,OFFSET(CRONOPLE!$F$14,$M113,AP$13))))</f>
        <v>0</v>
      </c>
      <c r="AQ113" s="181">
        <f ca="1">IF($D113&lt;&gt;"Serviço",0,IF(AND(AUTOEVENTO="Manual",$M113=1),0,IF(OFFSET(CRONOPLE!$F$14,$M113,AQ$13)="",10^12,OFFSET(CRONOPLE!$F$14,$M113,AQ$13))))</f>
        <v>0</v>
      </c>
      <c r="AR113" s="181">
        <f ca="1">IF($D113&lt;&gt;"Serviço",0,IF(AND(AUTOEVENTO="Manual",$M113=1),0,IF(OFFSET(CRONOPLE!$F$14,$M113,AR$13)="",10^12,OFFSET(CRONOPLE!$F$14,$M113,AR$13))))</f>
        <v>0</v>
      </c>
      <c r="AS113" s="181">
        <f ca="1">IF($D113&lt;&gt;"Serviço",0,IF(AND(AUTOEVENTO="Manual",$M113=1),0,IF(OFFSET(CRONOPLE!$F$14,$M113,AS$13)="",10^12,OFFSET(CRONOPLE!$F$14,$M113,AS$13))))</f>
        <v>0</v>
      </c>
      <c r="AT113" s="181">
        <f ca="1">IF($D113&lt;&gt;"Serviço",0,IF(AND(AUTOEVENTO="Manual",$M113=1),0,IF(OFFSET(CRONOPLE!$F$14,$M113,AT$13)="",10^12,OFFSET(CRONOPLE!$F$14,$M113,AT$13))))</f>
        <v>0</v>
      </c>
      <c r="AU113" s="181">
        <f ca="1">IF($D113&lt;&gt;"Serviço",0,IF(AND(AUTOEVENTO="Manual",$M113=1),0,IF(OFFSET(CRONOPLE!$F$14,$M113,AU$13)="",10^12,OFFSET(CRONOPLE!$F$14,$M113,AU$13))))</f>
        <v>0</v>
      </c>
      <c r="AV113" s="181">
        <f ca="1">IF($D113&lt;&gt;"Serviço",0,IF(AND(AUTOEVENTO="Manual",$M113=1),0,IF(OFFSET(CRONOPLE!$F$14,$M113,AV$13)="",10^12,OFFSET(CRONOPLE!$F$14,$M113,AV$13))))</f>
        <v>0</v>
      </c>
      <c r="AX113" s="182">
        <f ca="1">IF($D113&lt;&gt;"Serviço",0,IF(OR(AND(AUTOEVENTO="Manual",$M113=1),$M113&gt;(ROW(PLE.lastrow)-ROW(PLE.firstrow))),0,IF(OFFSET(PLE!$G$14,$M113,AX$13)="",10^12,OFFSET(PLE!$G$14,$M113,AX$13))))</f>
        <v>0</v>
      </c>
      <c r="AY113" s="182">
        <f ca="1">IF($D113&lt;&gt;"Serviço",0,IF(OR(AND(AUTOEVENTO="Manual",$M113=1),$M113&gt;(ROW(PLE.lastrow)-ROW(PLE.firstrow))),0,IF(OFFSET(PLE!$G$14,$M113,AY$13)="",10^12,OFFSET(PLE!$G$14,$M113,AY$13))))</f>
        <v>0</v>
      </c>
      <c r="AZ113" s="182">
        <f ca="1">IF($D113&lt;&gt;"Serviço",0,IF(OR(AND(AUTOEVENTO="Manual",$M113=1),$M113&gt;(ROW(PLE.lastrow)-ROW(PLE.firstrow))),0,IF(OFFSET(PLE!$G$14,$M113,AZ$13)="",10^12,OFFSET(PLE!$G$14,$M113,AZ$13))))</f>
        <v>0</v>
      </c>
      <c r="BA113" s="182">
        <f ca="1">IF($D113&lt;&gt;"Serviço",0,IF(OR(AND(AUTOEVENTO="Manual",$M113=1),$M113&gt;(ROW(PLE.lastrow)-ROW(PLE.firstrow))),0,IF(OFFSET(PLE!$G$14,$M113,BA$13)="",10^12,OFFSET(PLE!$G$14,$M113,BA$13))))</f>
        <v>0</v>
      </c>
      <c r="BB113" s="182">
        <f ca="1">IF($D113&lt;&gt;"Serviço",0,IF(OR(AND(AUTOEVENTO="Manual",$M113=1),$M113&gt;(ROW(PLE.lastrow)-ROW(PLE.firstrow))),0,IF(OFFSET(PLE!$G$14,$M113,BB$13)="",10^12,OFFSET(PLE!$G$14,$M113,BB$13))))</f>
        <v>0</v>
      </c>
      <c r="BC113" s="182">
        <f ca="1">IF($D113&lt;&gt;"Serviço",0,IF(OR(AND(AUTOEVENTO="Manual",$M113=1),$M113&gt;(ROW(PLE.lastrow)-ROW(PLE.firstrow))),0,IF(OFFSET(PLE!$G$14,$M113,BC$13)="",10^12,OFFSET(PLE!$G$14,$M113,BC$13))))</f>
        <v>0</v>
      </c>
      <c r="BD113" s="182">
        <f ca="1">IF($D113&lt;&gt;"Serviço",0,IF(OR(AND(AUTOEVENTO="Manual",$M113=1),$M113&gt;(ROW(PLE.lastrow)-ROW(PLE.firstrow))),0,IF(OFFSET(PLE!$G$14,$M113,BD$13)="",10^12,OFFSET(PLE!$G$14,$M113,BD$13))))</f>
        <v>0</v>
      </c>
      <c r="BE113" s="182">
        <f ca="1">IF($D113&lt;&gt;"Serviço",0,IF(OR(AND(AUTOEVENTO="Manual",$M113=1),$M113&gt;(ROW(PLE.lastrow)-ROW(PLE.firstrow))),0,IF(OFFSET(PLE!$G$14,$M113,BE$13)="",10^12,OFFSET(PLE!$G$14,$M113,BE$13))))</f>
        <v>0</v>
      </c>
      <c r="BF113" s="182">
        <f ca="1">IF($D113&lt;&gt;"Serviço",0,IF(OR(AND(AUTOEVENTO="Manual",$M113=1),$M113&gt;(ROW(PLE.lastrow)-ROW(PLE.firstrow))),0,IF(OFFSET(PLE!$G$14,$M113,BF$13)="",10^12,OFFSET(PLE!$G$14,$M113,BF$13))))</f>
        <v>0</v>
      </c>
      <c r="BG113" s="182">
        <f ca="1">IF($D113&lt;&gt;"Serviço",0,IF(OR(AND(AUTOEVENTO="Manual",$M113=1),$M113&gt;(ROW(PLE.lastrow)-ROW(PLE.firstrow))),0,IF(OFFSET(PLE!$G$14,$M113,BG$13)="",10^12,OFFSET(PLE!$G$14,$M113,BG$13))))</f>
        <v>0</v>
      </c>
    </row>
    <row r="114" spans="1:59" ht="25.5" x14ac:dyDescent="0.2">
      <c r="A114" s="7" t="str">
        <f t="shared" ca="1" si="10"/>
        <v>98</v>
      </c>
      <c r="B114" s="7" t="str">
        <f ca="1">OFFSET(ORÇAMENTO!C$15,ROW(B114)-ROW(B$15),0)</f>
        <v>S</v>
      </c>
      <c r="C114" s="7" t="str">
        <f ca="1">OFFSET(ORÇAMENTO!L$15,ROW(C114)-ROW(C$15),0)</f>
        <v>F</v>
      </c>
      <c r="D114" s="118" t="str">
        <f ca="1">OFFSET(ORÇAMENTO!N$15,ROW(D114)-ROW(D$15),0)</f>
        <v>Serviço</v>
      </c>
      <c r="E114" s="119" t="str">
        <f ca="1">OFFSET(ORÇAMENTO!O$15,ROW(E114)-ROW(E$15),0)</f>
        <v>3.5.1.</v>
      </c>
      <c r="F114" s="172" t="str">
        <f ca="1">OFFSET(ORÇAMENTO!R$15,ROW(F114)-ROW(F$15),0)</f>
        <v>Placa de advertência em aço, lado de 0,60 m - película retrorrefletiva tipo I + SI - fornecimento e implantação</v>
      </c>
      <c r="G114" s="173" t="str">
        <f ca="1">IF($D114&lt;&gt;"Serviço","",OFFSET(ORÇAMENTO!S$15,ROW(G114)-ROW(G$15),0))</f>
        <v>un</v>
      </c>
      <c r="H114" s="124">
        <f ca="1">IF($D114&lt;&gt;"Serviço",0,IF(ACOMPANHAMENTO="BM",ROUND(OFFSET(ORÇAMENTO!AJ$15,ROW(H114)-ROW(H$15),0),15-13*ORÇAMENTO!$AF$7),SUMPRODUCT(($Q$12:$AA$12&lt;&gt;"")*ROUND($Q114:$AA114,15-13*ORÇAMENTO!$AF$7))))</f>
        <v>2</v>
      </c>
      <c r="I114" s="561"/>
      <c r="K114" s="174"/>
      <c r="L114" s="175" t="s">
        <v>255</v>
      </c>
      <c r="M114" s="176">
        <f ca="1">IF($D114&lt;&gt;"Serviço","",IF(AUTOEVENTO="manual",$A114,IF(ISERROR(MATCH($A114,$A$15:OFFSET($A114,-1,0),0)),MAX($M$15:OFFSET(M114,-1,0))+1,INDEX($M$15:OFFSET(M114,-1,0),MATCH($A114,$A$15:OFFSET($A114,-1,0),0)))))</f>
        <v>16</v>
      </c>
      <c r="N114" s="177" t="str">
        <f ca="1">IF($D114&lt;&gt;"Serviço","",IF(AUTOEVENTO="Manual",IF($A114=0,"&lt;-- defina o número do agrupador",OFFSET(EVENTOS!$D$14,$A114,0)),OFFSET($F$15,$A114,0)))</f>
        <v>SINALIZAÇÃO</v>
      </c>
      <c r="O114" s="178"/>
      <c r="Q114" s="178"/>
      <c r="R114" s="179"/>
      <c r="S114" s="179"/>
      <c r="T114" s="179"/>
      <c r="U114" s="179"/>
      <c r="V114" s="179"/>
      <c r="W114" s="179"/>
      <c r="X114" s="179"/>
      <c r="Y114" s="179"/>
      <c r="Z114" s="180"/>
      <c r="AB114" s="544">
        <f ca="1">IF(AND($D114="Serviço",AB$12&lt;&gt;0,$H114&gt;0,OR(AUTOEVENTO&lt;&gt;"manual",$M114&lt;&gt;1)), IF(Import.TipoArredondamento&lt;&gt;"TransfereGOV", ROUND(OFFSET($P114,0,AB$13),15-13*ORÇAMENTO!$AF$7)/$H114*OFFSET(ORÇAMENTO!$X$15,ROW(AB114)-ROW(AB$15),0), ROUND(ROUND(OFFSET($P114,0,AB$13),15-13*ORÇAMENTO!$AF$7)*OFFSET(ORÇAMENTO!$W$15,ROW(AB114)-ROW(AB$15),0),15-13*ORÇAMENTO!$AF$11)),0)</f>
        <v>0</v>
      </c>
      <c r="AC114" s="545">
        <f ca="1">IF(AND($D114="Serviço",AC$12&lt;&gt;0,$H114&gt;0,OR(AUTOEVENTO&lt;&gt;"manual",$M114&lt;&gt;1)), IF(Import.TipoArredondamento&lt;&gt;"TransfereGOV", ROUND(OFFSET($P114,0,AC$13),15-13*ORÇAMENTO!$AF$7)/$H114*OFFSET(ORÇAMENTO!$X$15,ROW(AC114)-ROW(AC$15),0), ROUND(ROUND(OFFSET($P114,0,AC$13),15-13*ORÇAMENTO!$AF$7)*OFFSET(ORÇAMENTO!$W$15,ROW(AC114)-ROW(AC$15),0),15-13*ORÇAMENTO!$AF$11)),0)</f>
        <v>0</v>
      </c>
      <c r="AD114" s="545">
        <f ca="1">IF(AND($D114="Serviço",AD$12&lt;&gt;0,$H114&gt;0,OR(AUTOEVENTO&lt;&gt;"manual",$M114&lt;&gt;1)), IF(Import.TipoArredondamento&lt;&gt;"TransfereGOV", ROUND(OFFSET($P114,0,AD$13),15-13*ORÇAMENTO!$AF$7)/$H114*OFFSET(ORÇAMENTO!$X$15,ROW(AD114)-ROW(AD$15),0), ROUND(ROUND(OFFSET($P114,0,AD$13),15-13*ORÇAMENTO!$AF$7)*OFFSET(ORÇAMENTO!$W$15,ROW(AD114)-ROW(AD$15),0),15-13*ORÇAMENTO!$AF$11)),0)</f>
        <v>0</v>
      </c>
      <c r="AE114" s="545">
        <f ca="1">IF(AND($D114="Serviço",AE$12&lt;&gt;0,$H114&gt;0,OR(AUTOEVENTO&lt;&gt;"manual",$M114&lt;&gt;1)), IF(Import.TipoArredondamento&lt;&gt;"TransfereGOV", ROUND(OFFSET($P114,0,AE$13),15-13*ORÇAMENTO!$AF$7)/$H114*OFFSET(ORÇAMENTO!$X$15,ROW(AE114)-ROW(AE$15),0), ROUND(ROUND(OFFSET($P114,0,AE$13),15-13*ORÇAMENTO!$AF$7)*OFFSET(ORÇAMENTO!$W$15,ROW(AE114)-ROW(AE$15),0),15-13*ORÇAMENTO!$AF$11)),0)</f>
        <v>0</v>
      </c>
      <c r="AF114" s="545">
        <f ca="1">IF(AND($D114="Serviço",AF$12&lt;&gt;0,$H114&gt;0,OR(AUTOEVENTO&lt;&gt;"manual",$M114&lt;&gt;1)), IF(Import.TipoArredondamento&lt;&gt;"TransfereGOV", ROUND(OFFSET($P114,0,AF$13),15-13*ORÇAMENTO!$AF$7)/$H114*OFFSET(ORÇAMENTO!$X$15,ROW(AF114)-ROW(AF$15),0), ROUND(ROUND(OFFSET($P114,0,AF$13),15-13*ORÇAMENTO!$AF$7)*OFFSET(ORÇAMENTO!$W$15,ROW(AF114)-ROW(AF$15),0),15-13*ORÇAMENTO!$AF$11)),0)</f>
        <v>0</v>
      </c>
      <c r="AG114" s="545">
        <f ca="1">IF(AND($D114="Serviço",AG$12&lt;&gt;0,$H114&gt;0,OR(AUTOEVENTO&lt;&gt;"manual",$M114&lt;&gt;1)), IF(Import.TipoArredondamento&lt;&gt;"TransfereGOV", ROUND(OFFSET($P114,0,AG$13),15-13*ORÇAMENTO!$AF$7)/$H114*OFFSET(ORÇAMENTO!$X$15,ROW(AG114)-ROW(AG$15),0), ROUND(ROUND(OFFSET($P114,0,AG$13),15-13*ORÇAMENTO!$AF$7)*OFFSET(ORÇAMENTO!$W$15,ROW(AG114)-ROW(AG$15),0),15-13*ORÇAMENTO!$AF$11)),0)</f>
        <v>0</v>
      </c>
      <c r="AH114" s="545">
        <f ca="1">IF(AND($D114="Serviço",AH$12&lt;&gt;0,$H114&gt;0,OR(AUTOEVENTO&lt;&gt;"manual",$M114&lt;&gt;1)), IF(Import.TipoArredondamento&lt;&gt;"TransfereGOV", ROUND(OFFSET($P114,0,AH$13),15-13*ORÇAMENTO!$AF$7)/$H114*OFFSET(ORÇAMENTO!$X$15,ROW(AH114)-ROW(AH$15),0), ROUND(ROUND(OFFSET($P114,0,AH$13),15-13*ORÇAMENTO!$AF$7)*OFFSET(ORÇAMENTO!$W$15,ROW(AH114)-ROW(AH$15),0),15-13*ORÇAMENTO!$AF$11)),0)</f>
        <v>0</v>
      </c>
      <c r="AI114" s="545">
        <f ca="1">IF(AND($D114="Serviço",AI$12&lt;&gt;0,$H114&gt;0,OR(AUTOEVENTO&lt;&gt;"manual",$M114&lt;&gt;1)), IF(Import.TipoArredondamento&lt;&gt;"TransfereGOV", ROUND(OFFSET($P114,0,AI$13),15-13*ORÇAMENTO!$AF$7)/$H114*OFFSET(ORÇAMENTO!$X$15,ROW(AI114)-ROW(AI$15),0), ROUND(ROUND(OFFSET($P114,0,AI$13),15-13*ORÇAMENTO!$AF$7)*OFFSET(ORÇAMENTO!$W$15,ROW(AI114)-ROW(AI$15),0),15-13*ORÇAMENTO!$AF$11)),0)</f>
        <v>0</v>
      </c>
      <c r="AJ114" s="545">
        <f ca="1">IF(AND($D114="Serviço",AJ$12&lt;&gt;0,$H114&gt;0,OR(AUTOEVENTO&lt;&gt;"manual",$M114&lt;&gt;1)), IF(Import.TipoArredondamento&lt;&gt;"TransfereGOV", ROUND(OFFSET($P114,0,AJ$13),15-13*ORÇAMENTO!$AF$7)/$H114*OFFSET(ORÇAMENTO!$X$15,ROW(AJ114)-ROW(AJ$15),0), ROUND(ROUND(OFFSET($P114,0,AJ$13),15-13*ORÇAMENTO!$AF$7)*OFFSET(ORÇAMENTO!$W$15,ROW(AJ114)-ROW(AJ$15),0),15-13*ORÇAMENTO!$AF$11)),0)</f>
        <v>0</v>
      </c>
      <c r="AK114" s="546">
        <f ca="1">IF(AND($D114="Serviço",AK$12&lt;&gt;0,$H114&gt;0,OR(AUTOEVENTO&lt;&gt;"manual",$M114&lt;&gt;1)), IF(Import.TipoArredondamento&lt;&gt;"TransfereGOV", ROUND(OFFSET($P114,0,AK$13),15-13*ORÇAMENTO!$AF$7)/$H114*OFFSET(ORÇAMENTO!$X$15,ROW(AK114)-ROW(AK$15),0), ROUND(ROUND(OFFSET($P114,0,AK$13),15-13*ORÇAMENTO!$AF$7)*OFFSET(ORÇAMENTO!$W$15,ROW(AK114)-ROW(AK$15),0),15-13*ORÇAMENTO!$AF$11)),0)</f>
        <v>0</v>
      </c>
      <c r="AM114" s="181">
        <f ca="1">IF($D114&lt;&gt;"Serviço",0,IF(AND(AUTOEVENTO="Manual",$M114=1),0,IF(OFFSET(CRONOPLE!$F$14,$M114,AM$13)="",10^12,OFFSET(CRONOPLE!$F$14,$M114,AM$13))))</f>
        <v>1000000000000</v>
      </c>
      <c r="AN114" s="181">
        <f ca="1">IF($D114&lt;&gt;"Serviço",0,IF(AND(AUTOEVENTO="Manual",$M114=1),0,IF(OFFSET(CRONOPLE!$F$14,$M114,AN$13)="",10^12,OFFSET(CRONOPLE!$F$14,$M114,AN$13))))</f>
        <v>1000000000000</v>
      </c>
      <c r="AO114" s="181">
        <f ca="1">IF($D114&lt;&gt;"Serviço",0,IF(AND(AUTOEVENTO="Manual",$M114=1),0,IF(OFFSET(CRONOPLE!$F$14,$M114,AO$13)="",10^12,OFFSET(CRONOPLE!$F$14,$M114,AO$13))))</f>
        <v>1000000000000</v>
      </c>
      <c r="AP114" s="181">
        <f ca="1">IF($D114&lt;&gt;"Serviço",0,IF(AND(AUTOEVENTO="Manual",$M114=1),0,IF(OFFSET(CRONOPLE!$F$14,$M114,AP$13)="",10^12,OFFSET(CRONOPLE!$F$14,$M114,AP$13))))</f>
        <v>1000000000000</v>
      </c>
      <c r="AQ114" s="181">
        <f ca="1">IF($D114&lt;&gt;"Serviço",0,IF(AND(AUTOEVENTO="Manual",$M114=1),0,IF(OFFSET(CRONOPLE!$F$14,$M114,AQ$13)="",10^12,OFFSET(CRONOPLE!$F$14,$M114,AQ$13))))</f>
        <v>1000000000000</v>
      </c>
      <c r="AR114" s="181">
        <f ca="1">IF($D114&lt;&gt;"Serviço",0,IF(AND(AUTOEVENTO="Manual",$M114=1),0,IF(OFFSET(CRONOPLE!$F$14,$M114,AR$13)="",10^12,OFFSET(CRONOPLE!$F$14,$M114,AR$13))))</f>
        <v>1000000000000</v>
      </c>
      <c r="AS114" s="181">
        <f ca="1">IF($D114&lt;&gt;"Serviço",0,IF(AND(AUTOEVENTO="Manual",$M114=1),0,IF(OFFSET(CRONOPLE!$F$14,$M114,AS$13)="",10^12,OFFSET(CRONOPLE!$F$14,$M114,AS$13))))</f>
        <v>1000000000000</v>
      </c>
      <c r="AT114" s="181">
        <f ca="1">IF($D114&lt;&gt;"Serviço",0,IF(AND(AUTOEVENTO="Manual",$M114=1),0,IF(OFFSET(CRONOPLE!$F$14,$M114,AT$13)="",10^12,OFFSET(CRONOPLE!$F$14,$M114,AT$13))))</f>
        <v>1000000000000</v>
      </c>
      <c r="AU114" s="181">
        <f ca="1">IF($D114&lt;&gt;"Serviço",0,IF(AND(AUTOEVENTO="Manual",$M114=1),0,IF(OFFSET(CRONOPLE!$F$14,$M114,AU$13)="",10^12,OFFSET(CRONOPLE!$F$14,$M114,AU$13))))</f>
        <v>1000000000000</v>
      </c>
      <c r="AV114" s="181">
        <f ca="1">IF($D114&lt;&gt;"Serviço",0,IF(AND(AUTOEVENTO="Manual",$M114=1),0,IF(OFFSET(CRONOPLE!$F$14,$M114,AV$13)="",10^12,OFFSET(CRONOPLE!$F$14,$M114,AV$13))))</f>
        <v>1000000000000</v>
      </c>
      <c r="AX114" s="182">
        <f ca="1">IF($D114&lt;&gt;"Serviço",0,IF(OR(AND(AUTOEVENTO="Manual",$M114=1),$M114&gt;(ROW(PLE.lastrow)-ROW(PLE.firstrow))),0,IF(OFFSET(PLE!$G$14,$M114,AX$13)="",10^12,OFFSET(PLE!$G$14,$M114,AX$13))))</f>
        <v>1000000000000</v>
      </c>
      <c r="AY114" s="182">
        <f ca="1">IF($D114&lt;&gt;"Serviço",0,IF(OR(AND(AUTOEVENTO="Manual",$M114=1),$M114&gt;(ROW(PLE.lastrow)-ROW(PLE.firstrow))),0,IF(OFFSET(PLE!$G$14,$M114,AY$13)="",10^12,OFFSET(PLE!$G$14,$M114,AY$13))))</f>
        <v>1000000000000</v>
      </c>
      <c r="AZ114" s="182">
        <f ca="1">IF($D114&lt;&gt;"Serviço",0,IF(OR(AND(AUTOEVENTO="Manual",$M114=1),$M114&gt;(ROW(PLE.lastrow)-ROW(PLE.firstrow))),0,IF(OFFSET(PLE!$G$14,$M114,AZ$13)="",10^12,OFFSET(PLE!$G$14,$M114,AZ$13))))</f>
        <v>1000000000000</v>
      </c>
      <c r="BA114" s="182">
        <f ca="1">IF($D114&lt;&gt;"Serviço",0,IF(OR(AND(AUTOEVENTO="Manual",$M114=1),$M114&gt;(ROW(PLE.lastrow)-ROW(PLE.firstrow))),0,IF(OFFSET(PLE!$G$14,$M114,BA$13)="",10^12,OFFSET(PLE!$G$14,$M114,BA$13))))</f>
        <v>1000000000000</v>
      </c>
      <c r="BB114" s="182">
        <f ca="1">IF($D114&lt;&gt;"Serviço",0,IF(OR(AND(AUTOEVENTO="Manual",$M114=1),$M114&gt;(ROW(PLE.lastrow)-ROW(PLE.firstrow))),0,IF(OFFSET(PLE!$G$14,$M114,BB$13)="",10^12,OFFSET(PLE!$G$14,$M114,BB$13))))</f>
        <v>1000000000000</v>
      </c>
      <c r="BC114" s="182">
        <f ca="1">IF($D114&lt;&gt;"Serviço",0,IF(OR(AND(AUTOEVENTO="Manual",$M114=1),$M114&gt;(ROW(PLE.lastrow)-ROW(PLE.firstrow))),0,IF(OFFSET(PLE!$G$14,$M114,BC$13)="",10^12,OFFSET(PLE!$G$14,$M114,BC$13))))</f>
        <v>1000000000000</v>
      </c>
      <c r="BD114" s="182">
        <f ca="1">IF($D114&lt;&gt;"Serviço",0,IF(OR(AND(AUTOEVENTO="Manual",$M114=1),$M114&gt;(ROW(PLE.lastrow)-ROW(PLE.firstrow))),0,IF(OFFSET(PLE!$G$14,$M114,BD$13)="",10^12,OFFSET(PLE!$G$14,$M114,BD$13))))</f>
        <v>1000000000000</v>
      </c>
      <c r="BE114" s="182">
        <f ca="1">IF($D114&lt;&gt;"Serviço",0,IF(OR(AND(AUTOEVENTO="Manual",$M114=1),$M114&gt;(ROW(PLE.lastrow)-ROW(PLE.firstrow))),0,IF(OFFSET(PLE!$G$14,$M114,BE$13)="",10^12,OFFSET(PLE!$G$14,$M114,BE$13))))</f>
        <v>1000000000000</v>
      </c>
      <c r="BF114" s="182">
        <f ca="1">IF($D114&lt;&gt;"Serviço",0,IF(OR(AND(AUTOEVENTO="Manual",$M114=1),$M114&gt;(ROW(PLE.lastrow)-ROW(PLE.firstrow))),0,IF(OFFSET(PLE!$G$14,$M114,BF$13)="",10^12,OFFSET(PLE!$G$14,$M114,BF$13))))</f>
        <v>1000000000000</v>
      </c>
      <c r="BG114" s="182">
        <f ca="1">IF($D114&lt;&gt;"Serviço",0,IF(OR(AND(AUTOEVENTO="Manual",$M114=1),$M114&gt;(ROW(PLE.lastrow)-ROW(PLE.firstrow))),0,IF(OFFSET(PLE!$G$14,$M114,BG$13)="",10^12,OFFSET(PLE!$G$14,$M114,BG$13))))</f>
        <v>1000000000000</v>
      </c>
    </row>
    <row r="115" spans="1:59" ht="25.5" x14ac:dyDescent="0.2">
      <c r="A115" s="7" t="str">
        <f t="shared" ca="1" si="10"/>
        <v>98</v>
      </c>
      <c r="B115" s="7" t="str">
        <f ca="1">OFFSET(ORÇAMENTO!C$15,ROW(B115)-ROW(B$15),0)</f>
        <v>S</v>
      </c>
      <c r="C115" s="7" t="str">
        <f ca="1">OFFSET(ORÇAMENTO!L$15,ROW(C115)-ROW(C$15),0)</f>
        <v>F</v>
      </c>
      <c r="D115" s="118" t="str">
        <f ca="1">OFFSET(ORÇAMENTO!N$15,ROW(D115)-ROW(D$15),0)</f>
        <v>Serviço</v>
      </c>
      <c r="E115" s="119" t="str">
        <f ca="1">OFFSET(ORÇAMENTO!O$15,ROW(E115)-ROW(E$15),0)</f>
        <v>3.5.2.</v>
      </c>
      <c r="F115" s="172" t="str">
        <f ca="1">OFFSET(ORÇAMENTO!R$15,ROW(F115)-ROW(F$15),0)</f>
        <v>Placa de advertência em aço, lado de 0,80 m - película retrorrefletiva tipo I + SI - fornecimento e implantação</v>
      </c>
      <c r="G115" s="173" t="str">
        <f ca="1">IF($D115&lt;&gt;"Serviço","",OFFSET(ORÇAMENTO!S$15,ROW(G115)-ROW(G$15),0))</f>
        <v>un</v>
      </c>
      <c r="H115" s="124">
        <f ca="1">IF($D115&lt;&gt;"Serviço",0,IF(ACOMPANHAMENTO="BM",ROUND(OFFSET(ORÇAMENTO!AJ$15,ROW(H115)-ROW(H$15),0),15-13*ORÇAMENTO!$AF$7),SUMPRODUCT(($Q$12:$AA$12&lt;&gt;"")*ROUND($Q115:$AA115,15-13*ORÇAMENTO!$AF$7))))</f>
        <v>4</v>
      </c>
      <c r="I115" s="561"/>
      <c r="K115" s="174"/>
      <c r="L115" s="175" t="s">
        <v>255</v>
      </c>
      <c r="M115" s="176">
        <f ca="1">IF($D115&lt;&gt;"Serviço","",IF(AUTOEVENTO="manual",$A115,IF(ISERROR(MATCH($A115,$A$15:OFFSET($A115,-1,0),0)),MAX($M$15:OFFSET(M115,-1,0))+1,INDEX($M$15:OFFSET(M115,-1,0),MATCH($A115,$A$15:OFFSET($A115,-1,0),0)))))</f>
        <v>16</v>
      </c>
      <c r="N115" s="177" t="str">
        <f ca="1">IF($D115&lt;&gt;"Serviço","",IF(AUTOEVENTO="Manual",IF($A115=0,"&lt;-- defina o número do agrupador",OFFSET(EVENTOS!$D$14,$A115,0)),OFFSET($F$15,$A115,0)))</f>
        <v>SINALIZAÇÃO</v>
      </c>
      <c r="O115" s="178"/>
      <c r="Q115" s="178"/>
      <c r="R115" s="179"/>
      <c r="S115" s="179"/>
      <c r="T115" s="179"/>
      <c r="U115" s="179"/>
      <c r="V115" s="179"/>
      <c r="W115" s="179"/>
      <c r="X115" s="179"/>
      <c r="Y115" s="179"/>
      <c r="Z115" s="180"/>
      <c r="AB115" s="544">
        <f ca="1">IF(AND($D115="Serviço",AB$12&lt;&gt;0,$H115&gt;0,OR(AUTOEVENTO&lt;&gt;"manual",$M115&lt;&gt;1)), IF(Import.TipoArredondamento&lt;&gt;"TransfereGOV", ROUND(OFFSET($P115,0,AB$13),15-13*ORÇAMENTO!$AF$7)/$H115*OFFSET(ORÇAMENTO!$X$15,ROW(AB115)-ROW(AB$15),0), ROUND(ROUND(OFFSET($P115,0,AB$13),15-13*ORÇAMENTO!$AF$7)*OFFSET(ORÇAMENTO!$W$15,ROW(AB115)-ROW(AB$15),0),15-13*ORÇAMENTO!$AF$11)),0)</f>
        <v>0</v>
      </c>
      <c r="AC115" s="545">
        <f ca="1">IF(AND($D115="Serviço",AC$12&lt;&gt;0,$H115&gt;0,OR(AUTOEVENTO&lt;&gt;"manual",$M115&lt;&gt;1)), IF(Import.TipoArredondamento&lt;&gt;"TransfereGOV", ROUND(OFFSET($P115,0,AC$13),15-13*ORÇAMENTO!$AF$7)/$H115*OFFSET(ORÇAMENTO!$X$15,ROW(AC115)-ROW(AC$15),0), ROUND(ROUND(OFFSET($P115,0,AC$13),15-13*ORÇAMENTO!$AF$7)*OFFSET(ORÇAMENTO!$W$15,ROW(AC115)-ROW(AC$15),0),15-13*ORÇAMENTO!$AF$11)),0)</f>
        <v>0</v>
      </c>
      <c r="AD115" s="545">
        <f ca="1">IF(AND($D115="Serviço",AD$12&lt;&gt;0,$H115&gt;0,OR(AUTOEVENTO&lt;&gt;"manual",$M115&lt;&gt;1)), IF(Import.TipoArredondamento&lt;&gt;"TransfereGOV", ROUND(OFFSET($P115,0,AD$13),15-13*ORÇAMENTO!$AF$7)/$H115*OFFSET(ORÇAMENTO!$X$15,ROW(AD115)-ROW(AD$15),0), ROUND(ROUND(OFFSET($P115,0,AD$13),15-13*ORÇAMENTO!$AF$7)*OFFSET(ORÇAMENTO!$W$15,ROW(AD115)-ROW(AD$15),0),15-13*ORÇAMENTO!$AF$11)),0)</f>
        <v>0</v>
      </c>
      <c r="AE115" s="545">
        <f ca="1">IF(AND($D115="Serviço",AE$12&lt;&gt;0,$H115&gt;0,OR(AUTOEVENTO&lt;&gt;"manual",$M115&lt;&gt;1)), IF(Import.TipoArredondamento&lt;&gt;"TransfereGOV", ROUND(OFFSET($P115,0,AE$13),15-13*ORÇAMENTO!$AF$7)/$H115*OFFSET(ORÇAMENTO!$X$15,ROW(AE115)-ROW(AE$15),0), ROUND(ROUND(OFFSET($P115,0,AE$13),15-13*ORÇAMENTO!$AF$7)*OFFSET(ORÇAMENTO!$W$15,ROW(AE115)-ROW(AE$15),0),15-13*ORÇAMENTO!$AF$11)),0)</f>
        <v>0</v>
      </c>
      <c r="AF115" s="545">
        <f ca="1">IF(AND($D115="Serviço",AF$12&lt;&gt;0,$H115&gt;0,OR(AUTOEVENTO&lt;&gt;"manual",$M115&lt;&gt;1)), IF(Import.TipoArredondamento&lt;&gt;"TransfereGOV", ROUND(OFFSET($P115,0,AF$13),15-13*ORÇAMENTO!$AF$7)/$H115*OFFSET(ORÇAMENTO!$X$15,ROW(AF115)-ROW(AF$15),0), ROUND(ROUND(OFFSET($P115,0,AF$13),15-13*ORÇAMENTO!$AF$7)*OFFSET(ORÇAMENTO!$W$15,ROW(AF115)-ROW(AF$15),0),15-13*ORÇAMENTO!$AF$11)),0)</f>
        <v>0</v>
      </c>
      <c r="AG115" s="545">
        <f ca="1">IF(AND($D115="Serviço",AG$12&lt;&gt;0,$H115&gt;0,OR(AUTOEVENTO&lt;&gt;"manual",$M115&lt;&gt;1)), IF(Import.TipoArredondamento&lt;&gt;"TransfereGOV", ROUND(OFFSET($P115,0,AG$13),15-13*ORÇAMENTO!$AF$7)/$H115*OFFSET(ORÇAMENTO!$X$15,ROW(AG115)-ROW(AG$15),0), ROUND(ROUND(OFFSET($P115,0,AG$13),15-13*ORÇAMENTO!$AF$7)*OFFSET(ORÇAMENTO!$W$15,ROW(AG115)-ROW(AG$15),0),15-13*ORÇAMENTO!$AF$11)),0)</f>
        <v>0</v>
      </c>
      <c r="AH115" s="545">
        <f ca="1">IF(AND($D115="Serviço",AH$12&lt;&gt;0,$H115&gt;0,OR(AUTOEVENTO&lt;&gt;"manual",$M115&lt;&gt;1)), IF(Import.TipoArredondamento&lt;&gt;"TransfereGOV", ROUND(OFFSET($P115,0,AH$13),15-13*ORÇAMENTO!$AF$7)/$H115*OFFSET(ORÇAMENTO!$X$15,ROW(AH115)-ROW(AH$15),0), ROUND(ROUND(OFFSET($P115,0,AH$13),15-13*ORÇAMENTO!$AF$7)*OFFSET(ORÇAMENTO!$W$15,ROW(AH115)-ROW(AH$15),0),15-13*ORÇAMENTO!$AF$11)),0)</f>
        <v>0</v>
      </c>
      <c r="AI115" s="545">
        <f ca="1">IF(AND($D115="Serviço",AI$12&lt;&gt;0,$H115&gt;0,OR(AUTOEVENTO&lt;&gt;"manual",$M115&lt;&gt;1)), IF(Import.TipoArredondamento&lt;&gt;"TransfereGOV", ROUND(OFFSET($P115,0,AI$13),15-13*ORÇAMENTO!$AF$7)/$H115*OFFSET(ORÇAMENTO!$X$15,ROW(AI115)-ROW(AI$15),0), ROUND(ROUND(OFFSET($P115,0,AI$13),15-13*ORÇAMENTO!$AF$7)*OFFSET(ORÇAMENTO!$W$15,ROW(AI115)-ROW(AI$15),0),15-13*ORÇAMENTO!$AF$11)),0)</f>
        <v>0</v>
      </c>
      <c r="AJ115" s="545">
        <f ca="1">IF(AND($D115="Serviço",AJ$12&lt;&gt;0,$H115&gt;0,OR(AUTOEVENTO&lt;&gt;"manual",$M115&lt;&gt;1)), IF(Import.TipoArredondamento&lt;&gt;"TransfereGOV", ROUND(OFFSET($P115,0,AJ$13),15-13*ORÇAMENTO!$AF$7)/$H115*OFFSET(ORÇAMENTO!$X$15,ROW(AJ115)-ROW(AJ$15),0), ROUND(ROUND(OFFSET($P115,0,AJ$13),15-13*ORÇAMENTO!$AF$7)*OFFSET(ORÇAMENTO!$W$15,ROW(AJ115)-ROW(AJ$15),0),15-13*ORÇAMENTO!$AF$11)),0)</f>
        <v>0</v>
      </c>
      <c r="AK115" s="546">
        <f ca="1">IF(AND($D115="Serviço",AK$12&lt;&gt;0,$H115&gt;0,OR(AUTOEVENTO&lt;&gt;"manual",$M115&lt;&gt;1)), IF(Import.TipoArredondamento&lt;&gt;"TransfereGOV", ROUND(OFFSET($P115,0,AK$13),15-13*ORÇAMENTO!$AF$7)/$H115*OFFSET(ORÇAMENTO!$X$15,ROW(AK115)-ROW(AK$15),0), ROUND(ROUND(OFFSET($P115,0,AK$13),15-13*ORÇAMENTO!$AF$7)*OFFSET(ORÇAMENTO!$W$15,ROW(AK115)-ROW(AK$15),0),15-13*ORÇAMENTO!$AF$11)),0)</f>
        <v>0</v>
      </c>
      <c r="AM115" s="181">
        <f ca="1">IF($D115&lt;&gt;"Serviço",0,IF(AND(AUTOEVENTO="Manual",$M115=1),0,IF(OFFSET(CRONOPLE!$F$14,$M115,AM$13)="",10^12,OFFSET(CRONOPLE!$F$14,$M115,AM$13))))</f>
        <v>1000000000000</v>
      </c>
      <c r="AN115" s="181">
        <f ca="1">IF($D115&lt;&gt;"Serviço",0,IF(AND(AUTOEVENTO="Manual",$M115=1),0,IF(OFFSET(CRONOPLE!$F$14,$M115,AN$13)="",10^12,OFFSET(CRONOPLE!$F$14,$M115,AN$13))))</f>
        <v>1000000000000</v>
      </c>
      <c r="AO115" s="181">
        <f ca="1">IF($D115&lt;&gt;"Serviço",0,IF(AND(AUTOEVENTO="Manual",$M115=1),0,IF(OFFSET(CRONOPLE!$F$14,$M115,AO$13)="",10^12,OFFSET(CRONOPLE!$F$14,$M115,AO$13))))</f>
        <v>1000000000000</v>
      </c>
      <c r="AP115" s="181">
        <f ca="1">IF($D115&lt;&gt;"Serviço",0,IF(AND(AUTOEVENTO="Manual",$M115=1),0,IF(OFFSET(CRONOPLE!$F$14,$M115,AP$13)="",10^12,OFFSET(CRONOPLE!$F$14,$M115,AP$13))))</f>
        <v>1000000000000</v>
      </c>
      <c r="AQ115" s="181">
        <f ca="1">IF($D115&lt;&gt;"Serviço",0,IF(AND(AUTOEVENTO="Manual",$M115=1),0,IF(OFFSET(CRONOPLE!$F$14,$M115,AQ$13)="",10^12,OFFSET(CRONOPLE!$F$14,$M115,AQ$13))))</f>
        <v>1000000000000</v>
      </c>
      <c r="AR115" s="181">
        <f ca="1">IF($D115&lt;&gt;"Serviço",0,IF(AND(AUTOEVENTO="Manual",$M115=1),0,IF(OFFSET(CRONOPLE!$F$14,$M115,AR$13)="",10^12,OFFSET(CRONOPLE!$F$14,$M115,AR$13))))</f>
        <v>1000000000000</v>
      </c>
      <c r="AS115" s="181">
        <f ca="1">IF($D115&lt;&gt;"Serviço",0,IF(AND(AUTOEVENTO="Manual",$M115=1),0,IF(OFFSET(CRONOPLE!$F$14,$M115,AS$13)="",10^12,OFFSET(CRONOPLE!$F$14,$M115,AS$13))))</f>
        <v>1000000000000</v>
      </c>
      <c r="AT115" s="181">
        <f ca="1">IF($D115&lt;&gt;"Serviço",0,IF(AND(AUTOEVENTO="Manual",$M115=1),0,IF(OFFSET(CRONOPLE!$F$14,$M115,AT$13)="",10^12,OFFSET(CRONOPLE!$F$14,$M115,AT$13))))</f>
        <v>1000000000000</v>
      </c>
      <c r="AU115" s="181">
        <f ca="1">IF($D115&lt;&gt;"Serviço",0,IF(AND(AUTOEVENTO="Manual",$M115=1),0,IF(OFFSET(CRONOPLE!$F$14,$M115,AU$13)="",10^12,OFFSET(CRONOPLE!$F$14,$M115,AU$13))))</f>
        <v>1000000000000</v>
      </c>
      <c r="AV115" s="181">
        <f ca="1">IF($D115&lt;&gt;"Serviço",0,IF(AND(AUTOEVENTO="Manual",$M115=1),0,IF(OFFSET(CRONOPLE!$F$14,$M115,AV$13)="",10^12,OFFSET(CRONOPLE!$F$14,$M115,AV$13))))</f>
        <v>1000000000000</v>
      </c>
      <c r="AX115" s="182">
        <f ca="1">IF($D115&lt;&gt;"Serviço",0,IF(OR(AND(AUTOEVENTO="Manual",$M115=1),$M115&gt;(ROW(PLE.lastrow)-ROW(PLE.firstrow))),0,IF(OFFSET(PLE!$G$14,$M115,AX$13)="",10^12,OFFSET(PLE!$G$14,$M115,AX$13))))</f>
        <v>1000000000000</v>
      </c>
      <c r="AY115" s="182">
        <f ca="1">IF($D115&lt;&gt;"Serviço",0,IF(OR(AND(AUTOEVENTO="Manual",$M115=1),$M115&gt;(ROW(PLE.lastrow)-ROW(PLE.firstrow))),0,IF(OFFSET(PLE!$G$14,$M115,AY$13)="",10^12,OFFSET(PLE!$G$14,$M115,AY$13))))</f>
        <v>1000000000000</v>
      </c>
      <c r="AZ115" s="182">
        <f ca="1">IF($D115&lt;&gt;"Serviço",0,IF(OR(AND(AUTOEVENTO="Manual",$M115=1),$M115&gt;(ROW(PLE.lastrow)-ROW(PLE.firstrow))),0,IF(OFFSET(PLE!$G$14,$M115,AZ$13)="",10^12,OFFSET(PLE!$G$14,$M115,AZ$13))))</f>
        <v>1000000000000</v>
      </c>
      <c r="BA115" s="182">
        <f ca="1">IF($D115&lt;&gt;"Serviço",0,IF(OR(AND(AUTOEVENTO="Manual",$M115=1),$M115&gt;(ROW(PLE.lastrow)-ROW(PLE.firstrow))),0,IF(OFFSET(PLE!$G$14,$M115,BA$13)="",10^12,OFFSET(PLE!$G$14,$M115,BA$13))))</f>
        <v>1000000000000</v>
      </c>
      <c r="BB115" s="182">
        <f ca="1">IF($D115&lt;&gt;"Serviço",0,IF(OR(AND(AUTOEVENTO="Manual",$M115=1),$M115&gt;(ROW(PLE.lastrow)-ROW(PLE.firstrow))),0,IF(OFFSET(PLE!$G$14,$M115,BB$13)="",10^12,OFFSET(PLE!$G$14,$M115,BB$13))))</f>
        <v>1000000000000</v>
      </c>
      <c r="BC115" s="182">
        <f ca="1">IF($D115&lt;&gt;"Serviço",0,IF(OR(AND(AUTOEVENTO="Manual",$M115=1),$M115&gt;(ROW(PLE.lastrow)-ROW(PLE.firstrow))),0,IF(OFFSET(PLE!$G$14,$M115,BC$13)="",10^12,OFFSET(PLE!$G$14,$M115,BC$13))))</f>
        <v>1000000000000</v>
      </c>
      <c r="BD115" s="182">
        <f ca="1">IF($D115&lt;&gt;"Serviço",0,IF(OR(AND(AUTOEVENTO="Manual",$M115=1),$M115&gt;(ROW(PLE.lastrow)-ROW(PLE.firstrow))),0,IF(OFFSET(PLE!$G$14,$M115,BD$13)="",10^12,OFFSET(PLE!$G$14,$M115,BD$13))))</f>
        <v>1000000000000</v>
      </c>
      <c r="BE115" s="182">
        <f ca="1">IF($D115&lt;&gt;"Serviço",0,IF(OR(AND(AUTOEVENTO="Manual",$M115=1),$M115&gt;(ROW(PLE.lastrow)-ROW(PLE.firstrow))),0,IF(OFFSET(PLE!$G$14,$M115,BE$13)="",10^12,OFFSET(PLE!$G$14,$M115,BE$13))))</f>
        <v>1000000000000</v>
      </c>
      <c r="BF115" s="182">
        <f ca="1">IF($D115&lt;&gt;"Serviço",0,IF(OR(AND(AUTOEVENTO="Manual",$M115=1),$M115&gt;(ROW(PLE.lastrow)-ROW(PLE.firstrow))),0,IF(OFFSET(PLE!$G$14,$M115,BF$13)="",10^12,OFFSET(PLE!$G$14,$M115,BF$13))))</f>
        <v>1000000000000</v>
      </c>
      <c r="BG115" s="182">
        <f ca="1">IF($D115&lt;&gt;"Serviço",0,IF(OR(AND(AUTOEVENTO="Manual",$M115=1),$M115&gt;(ROW(PLE.lastrow)-ROW(PLE.firstrow))),0,IF(OFFSET(PLE!$G$14,$M115,BG$13)="",10^12,OFFSET(PLE!$G$14,$M115,BG$13))))</f>
        <v>1000000000000</v>
      </c>
    </row>
    <row r="116" spans="1:59" ht="25.5" x14ac:dyDescent="0.2">
      <c r="A116" s="7" t="str">
        <f t="shared" ca="1" si="10"/>
        <v>98</v>
      </c>
      <c r="B116" s="7" t="str">
        <f ca="1">OFFSET(ORÇAMENTO!C$15,ROW(B116)-ROW(B$15),0)</f>
        <v>S</v>
      </c>
      <c r="C116" s="7" t="str">
        <f ca="1">OFFSET(ORÇAMENTO!L$15,ROW(C116)-ROW(C$15),0)</f>
        <v>F</v>
      </c>
      <c r="D116" s="118" t="str">
        <f ca="1">OFFSET(ORÇAMENTO!N$15,ROW(D116)-ROW(D$15),0)</f>
        <v>Serviço</v>
      </c>
      <c r="E116" s="119" t="str">
        <f ca="1">OFFSET(ORÇAMENTO!O$15,ROW(E116)-ROW(E$15),0)</f>
        <v>3.5.3.</v>
      </c>
      <c r="F116" s="172" t="str">
        <f ca="1">OFFSET(ORÇAMENTO!R$15,ROW(F116)-ROW(F$15),0)</f>
        <v>Placa em aço nº 16 galvanizado com película retrorrefletiva tipo I + SI - confecção</v>
      </c>
      <c r="G116" s="173" t="str">
        <f ca="1">IF($D116&lt;&gt;"Serviço","",OFFSET(ORÇAMENTO!S$15,ROW(G116)-ROW(G$15),0))</f>
        <v>m²</v>
      </c>
      <c r="H116" s="124">
        <f ca="1">IF($D116&lt;&gt;"Serviço",0,IF(ACOMPANHAMENTO="BM",ROUND(OFFSET(ORÇAMENTO!AJ$15,ROW(H116)-ROW(H$15),0),15-13*ORÇAMENTO!$AF$7),SUMPRODUCT(($Q$12:$AA$12&lt;&gt;"")*ROUND($Q116:$AA116,15-13*ORÇAMENTO!$AF$7))))</f>
        <v>0.25</v>
      </c>
      <c r="I116" s="561"/>
      <c r="K116" s="174"/>
      <c r="L116" s="175" t="s">
        <v>255</v>
      </c>
      <c r="M116" s="176">
        <f ca="1">IF($D116&lt;&gt;"Serviço","",IF(AUTOEVENTO="manual",$A116,IF(ISERROR(MATCH($A116,$A$15:OFFSET($A116,-1,0),0)),MAX($M$15:OFFSET(M116,-1,0))+1,INDEX($M$15:OFFSET(M116,-1,0),MATCH($A116,$A$15:OFFSET($A116,-1,0),0)))))</f>
        <v>16</v>
      </c>
      <c r="N116" s="177" t="str">
        <f ca="1">IF($D116&lt;&gt;"Serviço","",IF(AUTOEVENTO="Manual",IF($A116=0,"&lt;-- defina o número do agrupador",OFFSET(EVENTOS!$D$14,$A116,0)),OFFSET($F$15,$A116,0)))</f>
        <v>SINALIZAÇÃO</v>
      </c>
      <c r="O116" s="178"/>
      <c r="Q116" s="178"/>
      <c r="R116" s="179"/>
      <c r="S116" s="179"/>
      <c r="T116" s="179"/>
      <c r="U116" s="179"/>
      <c r="V116" s="179"/>
      <c r="W116" s="179"/>
      <c r="X116" s="179"/>
      <c r="Y116" s="179"/>
      <c r="Z116" s="180"/>
      <c r="AB116" s="544">
        <f ca="1">IF(AND($D116="Serviço",AB$12&lt;&gt;0,$H116&gt;0,OR(AUTOEVENTO&lt;&gt;"manual",$M116&lt;&gt;1)), IF(Import.TipoArredondamento&lt;&gt;"TransfereGOV", ROUND(OFFSET($P116,0,AB$13),15-13*ORÇAMENTO!$AF$7)/$H116*OFFSET(ORÇAMENTO!$X$15,ROW(AB116)-ROW(AB$15),0), ROUND(ROUND(OFFSET($P116,0,AB$13),15-13*ORÇAMENTO!$AF$7)*OFFSET(ORÇAMENTO!$W$15,ROW(AB116)-ROW(AB$15),0),15-13*ORÇAMENTO!$AF$11)),0)</f>
        <v>0</v>
      </c>
      <c r="AC116" s="545">
        <f ca="1">IF(AND($D116="Serviço",AC$12&lt;&gt;0,$H116&gt;0,OR(AUTOEVENTO&lt;&gt;"manual",$M116&lt;&gt;1)), IF(Import.TipoArredondamento&lt;&gt;"TransfereGOV", ROUND(OFFSET($P116,0,AC$13),15-13*ORÇAMENTO!$AF$7)/$H116*OFFSET(ORÇAMENTO!$X$15,ROW(AC116)-ROW(AC$15),0), ROUND(ROUND(OFFSET($P116,0,AC$13),15-13*ORÇAMENTO!$AF$7)*OFFSET(ORÇAMENTO!$W$15,ROW(AC116)-ROW(AC$15),0),15-13*ORÇAMENTO!$AF$11)),0)</f>
        <v>0</v>
      </c>
      <c r="AD116" s="545">
        <f ca="1">IF(AND($D116="Serviço",AD$12&lt;&gt;0,$H116&gt;0,OR(AUTOEVENTO&lt;&gt;"manual",$M116&lt;&gt;1)), IF(Import.TipoArredondamento&lt;&gt;"TransfereGOV", ROUND(OFFSET($P116,0,AD$13),15-13*ORÇAMENTO!$AF$7)/$H116*OFFSET(ORÇAMENTO!$X$15,ROW(AD116)-ROW(AD$15),0), ROUND(ROUND(OFFSET($P116,0,AD$13),15-13*ORÇAMENTO!$AF$7)*OFFSET(ORÇAMENTO!$W$15,ROW(AD116)-ROW(AD$15),0),15-13*ORÇAMENTO!$AF$11)),0)</f>
        <v>0</v>
      </c>
      <c r="AE116" s="545">
        <f ca="1">IF(AND($D116="Serviço",AE$12&lt;&gt;0,$H116&gt;0,OR(AUTOEVENTO&lt;&gt;"manual",$M116&lt;&gt;1)), IF(Import.TipoArredondamento&lt;&gt;"TransfereGOV", ROUND(OFFSET($P116,0,AE$13),15-13*ORÇAMENTO!$AF$7)/$H116*OFFSET(ORÇAMENTO!$X$15,ROW(AE116)-ROW(AE$15),0), ROUND(ROUND(OFFSET($P116,0,AE$13),15-13*ORÇAMENTO!$AF$7)*OFFSET(ORÇAMENTO!$W$15,ROW(AE116)-ROW(AE$15),0),15-13*ORÇAMENTO!$AF$11)),0)</f>
        <v>0</v>
      </c>
      <c r="AF116" s="545">
        <f ca="1">IF(AND($D116="Serviço",AF$12&lt;&gt;0,$H116&gt;0,OR(AUTOEVENTO&lt;&gt;"manual",$M116&lt;&gt;1)), IF(Import.TipoArredondamento&lt;&gt;"TransfereGOV", ROUND(OFFSET($P116,0,AF$13),15-13*ORÇAMENTO!$AF$7)/$H116*OFFSET(ORÇAMENTO!$X$15,ROW(AF116)-ROW(AF$15),0), ROUND(ROUND(OFFSET($P116,0,AF$13),15-13*ORÇAMENTO!$AF$7)*OFFSET(ORÇAMENTO!$W$15,ROW(AF116)-ROW(AF$15),0),15-13*ORÇAMENTO!$AF$11)),0)</f>
        <v>0</v>
      </c>
      <c r="AG116" s="545">
        <f ca="1">IF(AND($D116="Serviço",AG$12&lt;&gt;0,$H116&gt;0,OR(AUTOEVENTO&lt;&gt;"manual",$M116&lt;&gt;1)), IF(Import.TipoArredondamento&lt;&gt;"TransfereGOV", ROUND(OFFSET($P116,0,AG$13),15-13*ORÇAMENTO!$AF$7)/$H116*OFFSET(ORÇAMENTO!$X$15,ROW(AG116)-ROW(AG$15),0), ROUND(ROUND(OFFSET($P116,0,AG$13),15-13*ORÇAMENTO!$AF$7)*OFFSET(ORÇAMENTO!$W$15,ROW(AG116)-ROW(AG$15),0),15-13*ORÇAMENTO!$AF$11)),0)</f>
        <v>0</v>
      </c>
      <c r="AH116" s="545">
        <f ca="1">IF(AND($D116="Serviço",AH$12&lt;&gt;0,$H116&gt;0,OR(AUTOEVENTO&lt;&gt;"manual",$M116&lt;&gt;1)), IF(Import.TipoArredondamento&lt;&gt;"TransfereGOV", ROUND(OFFSET($P116,0,AH$13),15-13*ORÇAMENTO!$AF$7)/$H116*OFFSET(ORÇAMENTO!$X$15,ROW(AH116)-ROW(AH$15),0), ROUND(ROUND(OFFSET($P116,0,AH$13),15-13*ORÇAMENTO!$AF$7)*OFFSET(ORÇAMENTO!$W$15,ROW(AH116)-ROW(AH$15),0),15-13*ORÇAMENTO!$AF$11)),0)</f>
        <v>0</v>
      </c>
      <c r="AI116" s="545">
        <f ca="1">IF(AND($D116="Serviço",AI$12&lt;&gt;0,$H116&gt;0,OR(AUTOEVENTO&lt;&gt;"manual",$M116&lt;&gt;1)), IF(Import.TipoArredondamento&lt;&gt;"TransfereGOV", ROUND(OFFSET($P116,0,AI$13),15-13*ORÇAMENTO!$AF$7)/$H116*OFFSET(ORÇAMENTO!$X$15,ROW(AI116)-ROW(AI$15),0), ROUND(ROUND(OFFSET($P116,0,AI$13),15-13*ORÇAMENTO!$AF$7)*OFFSET(ORÇAMENTO!$W$15,ROW(AI116)-ROW(AI$15),0),15-13*ORÇAMENTO!$AF$11)),0)</f>
        <v>0</v>
      </c>
      <c r="AJ116" s="545">
        <f ca="1">IF(AND($D116="Serviço",AJ$12&lt;&gt;0,$H116&gt;0,OR(AUTOEVENTO&lt;&gt;"manual",$M116&lt;&gt;1)), IF(Import.TipoArredondamento&lt;&gt;"TransfereGOV", ROUND(OFFSET($P116,0,AJ$13),15-13*ORÇAMENTO!$AF$7)/$H116*OFFSET(ORÇAMENTO!$X$15,ROW(AJ116)-ROW(AJ$15),0), ROUND(ROUND(OFFSET($P116,0,AJ$13),15-13*ORÇAMENTO!$AF$7)*OFFSET(ORÇAMENTO!$W$15,ROW(AJ116)-ROW(AJ$15),0),15-13*ORÇAMENTO!$AF$11)),0)</f>
        <v>0</v>
      </c>
      <c r="AK116" s="546">
        <f ca="1">IF(AND($D116="Serviço",AK$12&lt;&gt;0,$H116&gt;0,OR(AUTOEVENTO&lt;&gt;"manual",$M116&lt;&gt;1)), IF(Import.TipoArredondamento&lt;&gt;"TransfereGOV", ROUND(OFFSET($P116,0,AK$13),15-13*ORÇAMENTO!$AF$7)/$H116*OFFSET(ORÇAMENTO!$X$15,ROW(AK116)-ROW(AK$15),0), ROUND(ROUND(OFFSET($P116,0,AK$13),15-13*ORÇAMENTO!$AF$7)*OFFSET(ORÇAMENTO!$W$15,ROW(AK116)-ROW(AK$15),0),15-13*ORÇAMENTO!$AF$11)),0)</f>
        <v>0</v>
      </c>
      <c r="AM116" s="181">
        <f ca="1">IF($D116&lt;&gt;"Serviço",0,IF(AND(AUTOEVENTO="Manual",$M116=1),0,IF(OFFSET(CRONOPLE!$F$14,$M116,AM$13)="",10^12,OFFSET(CRONOPLE!$F$14,$M116,AM$13))))</f>
        <v>1000000000000</v>
      </c>
      <c r="AN116" s="181">
        <f ca="1">IF($D116&lt;&gt;"Serviço",0,IF(AND(AUTOEVENTO="Manual",$M116=1),0,IF(OFFSET(CRONOPLE!$F$14,$M116,AN$13)="",10^12,OFFSET(CRONOPLE!$F$14,$M116,AN$13))))</f>
        <v>1000000000000</v>
      </c>
      <c r="AO116" s="181">
        <f ca="1">IF($D116&lt;&gt;"Serviço",0,IF(AND(AUTOEVENTO="Manual",$M116=1),0,IF(OFFSET(CRONOPLE!$F$14,$M116,AO$13)="",10^12,OFFSET(CRONOPLE!$F$14,$M116,AO$13))))</f>
        <v>1000000000000</v>
      </c>
      <c r="AP116" s="181">
        <f ca="1">IF($D116&lt;&gt;"Serviço",0,IF(AND(AUTOEVENTO="Manual",$M116=1),0,IF(OFFSET(CRONOPLE!$F$14,$M116,AP$13)="",10^12,OFFSET(CRONOPLE!$F$14,$M116,AP$13))))</f>
        <v>1000000000000</v>
      </c>
      <c r="AQ116" s="181">
        <f ca="1">IF($D116&lt;&gt;"Serviço",0,IF(AND(AUTOEVENTO="Manual",$M116=1),0,IF(OFFSET(CRONOPLE!$F$14,$M116,AQ$13)="",10^12,OFFSET(CRONOPLE!$F$14,$M116,AQ$13))))</f>
        <v>1000000000000</v>
      </c>
      <c r="AR116" s="181">
        <f ca="1">IF($D116&lt;&gt;"Serviço",0,IF(AND(AUTOEVENTO="Manual",$M116=1),0,IF(OFFSET(CRONOPLE!$F$14,$M116,AR$13)="",10^12,OFFSET(CRONOPLE!$F$14,$M116,AR$13))))</f>
        <v>1000000000000</v>
      </c>
      <c r="AS116" s="181">
        <f ca="1">IF($D116&lt;&gt;"Serviço",0,IF(AND(AUTOEVENTO="Manual",$M116=1),0,IF(OFFSET(CRONOPLE!$F$14,$M116,AS$13)="",10^12,OFFSET(CRONOPLE!$F$14,$M116,AS$13))))</f>
        <v>1000000000000</v>
      </c>
      <c r="AT116" s="181">
        <f ca="1">IF($D116&lt;&gt;"Serviço",0,IF(AND(AUTOEVENTO="Manual",$M116=1),0,IF(OFFSET(CRONOPLE!$F$14,$M116,AT$13)="",10^12,OFFSET(CRONOPLE!$F$14,$M116,AT$13))))</f>
        <v>1000000000000</v>
      </c>
      <c r="AU116" s="181">
        <f ca="1">IF($D116&lt;&gt;"Serviço",0,IF(AND(AUTOEVENTO="Manual",$M116=1),0,IF(OFFSET(CRONOPLE!$F$14,$M116,AU$13)="",10^12,OFFSET(CRONOPLE!$F$14,$M116,AU$13))))</f>
        <v>1000000000000</v>
      </c>
      <c r="AV116" s="181">
        <f ca="1">IF($D116&lt;&gt;"Serviço",0,IF(AND(AUTOEVENTO="Manual",$M116=1),0,IF(OFFSET(CRONOPLE!$F$14,$M116,AV$13)="",10^12,OFFSET(CRONOPLE!$F$14,$M116,AV$13))))</f>
        <v>1000000000000</v>
      </c>
      <c r="AX116" s="182">
        <f ca="1">IF($D116&lt;&gt;"Serviço",0,IF(OR(AND(AUTOEVENTO="Manual",$M116=1),$M116&gt;(ROW(PLE.lastrow)-ROW(PLE.firstrow))),0,IF(OFFSET(PLE!$G$14,$M116,AX$13)="",10^12,OFFSET(PLE!$G$14,$M116,AX$13))))</f>
        <v>1000000000000</v>
      </c>
      <c r="AY116" s="182">
        <f ca="1">IF($D116&lt;&gt;"Serviço",0,IF(OR(AND(AUTOEVENTO="Manual",$M116=1),$M116&gt;(ROW(PLE.lastrow)-ROW(PLE.firstrow))),0,IF(OFFSET(PLE!$G$14,$M116,AY$13)="",10^12,OFFSET(PLE!$G$14,$M116,AY$13))))</f>
        <v>1000000000000</v>
      </c>
      <c r="AZ116" s="182">
        <f ca="1">IF($D116&lt;&gt;"Serviço",0,IF(OR(AND(AUTOEVENTO="Manual",$M116=1),$M116&gt;(ROW(PLE.lastrow)-ROW(PLE.firstrow))),0,IF(OFFSET(PLE!$G$14,$M116,AZ$13)="",10^12,OFFSET(PLE!$G$14,$M116,AZ$13))))</f>
        <v>1000000000000</v>
      </c>
      <c r="BA116" s="182">
        <f ca="1">IF($D116&lt;&gt;"Serviço",0,IF(OR(AND(AUTOEVENTO="Manual",$M116=1),$M116&gt;(ROW(PLE.lastrow)-ROW(PLE.firstrow))),0,IF(OFFSET(PLE!$G$14,$M116,BA$13)="",10^12,OFFSET(PLE!$G$14,$M116,BA$13))))</f>
        <v>1000000000000</v>
      </c>
      <c r="BB116" s="182">
        <f ca="1">IF($D116&lt;&gt;"Serviço",0,IF(OR(AND(AUTOEVENTO="Manual",$M116=1),$M116&gt;(ROW(PLE.lastrow)-ROW(PLE.firstrow))),0,IF(OFFSET(PLE!$G$14,$M116,BB$13)="",10^12,OFFSET(PLE!$G$14,$M116,BB$13))))</f>
        <v>1000000000000</v>
      </c>
      <c r="BC116" s="182">
        <f ca="1">IF($D116&lt;&gt;"Serviço",0,IF(OR(AND(AUTOEVENTO="Manual",$M116=1),$M116&gt;(ROW(PLE.lastrow)-ROW(PLE.firstrow))),0,IF(OFFSET(PLE!$G$14,$M116,BC$13)="",10^12,OFFSET(PLE!$G$14,$M116,BC$13))))</f>
        <v>1000000000000</v>
      </c>
      <c r="BD116" s="182">
        <f ca="1">IF($D116&lt;&gt;"Serviço",0,IF(OR(AND(AUTOEVENTO="Manual",$M116=1),$M116&gt;(ROW(PLE.lastrow)-ROW(PLE.firstrow))),0,IF(OFFSET(PLE!$G$14,$M116,BD$13)="",10^12,OFFSET(PLE!$G$14,$M116,BD$13))))</f>
        <v>1000000000000</v>
      </c>
      <c r="BE116" s="182">
        <f ca="1">IF($D116&lt;&gt;"Serviço",0,IF(OR(AND(AUTOEVENTO="Manual",$M116=1),$M116&gt;(ROW(PLE.lastrow)-ROW(PLE.firstrow))),0,IF(OFFSET(PLE!$G$14,$M116,BE$13)="",10^12,OFFSET(PLE!$G$14,$M116,BE$13))))</f>
        <v>1000000000000</v>
      </c>
      <c r="BF116" s="182">
        <f ca="1">IF($D116&lt;&gt;"Serviço",0,IF(OR(AND(AUTOEVENTO="Manual",$M116=1),$M116&gt;(ROW(PLE.lastrow)-ROW(PLE.firstrow))),0,IF(OFFSET(PLE!$G$14,$M116,BF$13)="",10^12,OFFSET(PLE!$G$14,$M116,BF$13))))</f>
        <v>1000000000000</v>
      </c>
      <c r="BG116" s="182">
        <f ca="1">IF($D116&lt;&gt;"Serviço",0,IF(OR(AND(AUTOEVENTO="Manual",$M116=1),$M116&gt;(ROW(PLE.lastrow)-ROW(PLE.firstrow))),0,IF(OFFSET(PLE!$G$14,$M116,BG$13)="",10^12,OFFSET(PLE!$G$14,$M116,BG$13))))</f>
        <v>1000000000000</v>
      </c>
    </row>
    <row r="117" spans="1:59" s="577" customFormat="1" ht="25.5" x14ac:dyDescent="0.2">
      <c r="A117" s="7" t="str">
        <f ca="1">IF(AUTOEVENTO="Manual",IF(K117&lt;&gt;"",MIN(VALUE(LEFT(K117,FIND(".",K117)-1)),COUNTA(EVENTOS.Lista)),0),IF(OR($B117&gt;AUTOEVENTO,$B117="S",$B117=0),SUBSTITUTE(OFFSET($A117,-1,0),IF($D117="Serviço",".",""),""),ROW(A117)-ROW($A$15)&amp;"."))</f>
        <v>98</v>
      </c>
      <c r="B117" s="7" t="str">
        <f ca="1">OFFSET(ORÇAMENTO!C$15,ROW(B117)-ROW(B$15),0)</f>
        <v>S</v>
      </c>
      <c r="C117" s="7" t="str">
        <f ca="1">OFFSET(ORÇAMENTO!L$15,ROW(C117)-ROW(C$15),0)</f>
        <v>F</v>
      </c>
      <c r="D117" s="118" t="str">
        <f ca="1">OFFSET(ORÇAMENTO!N$15,ROW(D117)-ROW(D$15),0)</f>
        <v>Serviço</v>
      </c>
      <c r="E117" s="119" t="str">
        <f ca="1">OFFSET(ORÇAMENTO!O$15,ROW(E117)-ROW(E$15),0)</f>
        <v>3.5.4.</v>
      </c>
      <c r="F117" s="172" t="str">
        <f ca="1">OFFSET(ORÇAMENTO!R$15,ROW(F117)-ROW(F$15),0)</f>
        <v>Suporte metálico galvanizado para placa de advertência ou regulamentação - lado ou diâmetro de 0,60 m - fornecimento e implantação</v>
      </c>
      <c r="G117" s="173" t="str">
        <f ca="1">IF($D117&lt;&gt;"Serviço","",OFFSET(ORÇAMENTO!S$15,ROW(G117)-ROW(G$15),0))</f>
        <v>un</v>
      </c>
      <c r="H117" s="124">
        <f ca="1">IF($D117&lt;&gt;"Serviço",0,IF(ACOMPANHAMENTO="BM",ROUND(OFFSET(ORÇAMENTO!AJ$15,ROW(H117)-ROW(H$15),0),15-13*ORÇAMENTO!$AF$7),SUMPRODUCT(($Q$12:$AA$12&lt;&gt;"")*ROUND($Q117:$AA117,15-13*ORÇAMENTO!$AF$7))))</f>
        <v>7</v>
      </c>
      <c r="I117" s="561"/>
      <c r="K117" s="174"/>
      <c r="L117" s="175" t="s">
        <v>255</v>
      </c>
      <c r="M117" s="176">
        <f ca="1">IF($D117&lt;&gt;"Serviço","",IF(AUTOEVENTO="manual",$A117,IF(ISERROR(MATCH($A117,$A$15:OFFSET($A117,-1,0),0)),MAX($M$15:OFFSET(M117,-1,0))+1,INDEX($M$15:OFFSET(M117,-1,0),MATCH($A117,$A$15:OFFSET($A117,-1,0),0)))))</f>
        <v>16</v>
      </c>
      <c r="N117" s="177" t="str">
        <f ca="1">IF($D117&lt;&gt;"Serviço","",IF(AUTOEVENTO="Manual",IF($A117=0,"&lt;-- defina o número do agrupador",OFFSET(EVENTOS!$D$14,$A117,0)),OFFSET($F$15,$A117,0)))</f>
        <v>SINALIZAÇÃO</v>
      </c>
      <c r="O117" s="178"/>
      <c r="Q117" s="178"/>
      <c r="R117" s="179"/>
      <c r="S117" s="179"/>
      <c r="T117" s="179"/>
      <c r="U117" s="179"/>
      <c r="V117" s="179"/>
      <c r="W117" s="179"/>
      <c r="X117" s="179"/>
      <c r="Y117" s="179"/>
      <c r="Z117" s="180"/>
      <c r="AB117" s="544">
        <f ca="1">IF(AND($D117="Serviço",AB$12&lt;&gt;0,$H117&gt;0,OR(AUTOEVENTO&lt;&gt;"manual",$M117&lt;&gt;1)), IF(Import.TipoArredondamento&lt;&gt;"TransfereGOV", ROUND(OFFSET($P117,0,AB$13),15-13*ORÇAMENTO!$AF$7)/$H117*OFFSET(ORÇAMENTO!$X$15,ROW(AB117)-ROW(AB$15),0), ROUND(ROUND(OFFSET($P117,0,AB$13),15-13*ORÇAMENTO!$AF$7)*OFFSET(ORÇAMENTO!$W$15,ROW(AB117)-ROW(AB$15),0),15-13*ORÇAMENTO!$AF$11)),0)</f>
        <v>0</v>
      </c>
      <c r="AC117" s="545">
        <f ca="1">IF(AND($D117="Serviço",AC$12&lt;&gt;0,$H117&gt;0,OR(AUTOEVENTO&lt;&gt;"manual",$M117&lt;&gt;1)), IF(Import.TipoArredondamento&lt;&gt;"TransfereGOV", ROUND(OFFSET($P117,0,AC$13),15-13*ORÇAMENTO!$AF$7)/$H117*OFFSET(ORÇAMENTO!$X$15,ROW(AC117)-ROW(AC$15),0), ROUND(ROUND(OFFSET($P117,0,AC$13),15-13*ORÇAMENTO!$AF$7)*OFFSET(ORÇAMENTO!$W$15,ROW(AC117)-ROW(AC$15),0),15-13*ORÇAMENTO!$AF$11)),0)</f>
        <v>0</v>
      </c>
      <c r="AD117" s="545">
        <f ca="1">IF(AND($D117="Serviço",AD$12&lt;&gt;0,$H117&gt;0,OR(AUTOEVENTO&lt;&gt;"manual",$M117&lt;&gt;1)), IF(Import.TipoArredondamento&lt;&gt;"TransfereGOV", ROUND(OFFSET($P117,0,AD$13),15-13*ORÇAMENTO!$AF$7)/$H117*OFFSET(ORÇAMENTO!$X$15,ROW(AD117)-ROW(AD$15),0), ROUND(ROUND(OFFSET($P117,0,AD$13),15-13*ORÇAMENTO!$AF$7)*OFFSET(ORÇAMENTO!$W$15,ROW(AD117)-ROW(AD$15),0),15-13*ORÇAMENTO!$AF$11)),0)</f>
        <v>0</v>
      </c>
      <c r="AE117" s="545">
        <f ca="1">IF(AND($D117="Serviço",AE$12&lt;&gt;0,$H117&gt;0,OR(AUTOEVENTO&lt;&gt;"manual",$M117&lt;&gt;1)), IF(Import.TipoArredondamento&lt;&gt;"TransfereGOV", ROUND(OFFSET($P117,0,AE$13),15-13*ORÇAMENTO!$AF$7)/$H117*OFFSET(ORÇAMENTO!$X$15,ROW(AE117)-ROW(AE$15),0), ROUND(ROUND(OFFSET($P117,0,AE$13),15-13*ORÇAMENTO!$AF$7)*OFFSET(ORÇAMENTO!$W$15,ROW(AE117)-ROW(AE$15),0),15-13*ORÇAMENTO!$AF$11)),0)</f>
        <v>0</v>
      </c>
      <c r="AF117" s="545">
        <f ca="1">IF(AND($D117="Serviço",AF$12&lt;&gt;0,$H117&gt;0,OR(AUTOEVENTO&lt;&gt;"manual",$M117&lt;&gt;1)), IF(Import.TipoArredondamento&lt;&gt;"TransfereGOV", ROUND(OFFSET($P117,0,AF$13),15-13*ORÇAMENTO!$AF$7)/$H117*OFFSET(ORÇAMENTO!$X$15,ROW(AF117)-ROW(AF$15),0), ROUND(ROUND(OFFSET($P117,0,AF$13),15-13*ORÇAMENTO!$AF$7)*OFFSET(ORÇAMENTO!$W$15,ROW(AF117)-ROW(AF$15),0),15-13*ORÇAMENTO!$AF$11)),0)</f>
        <v>0</v>
      </c>
      <c r="AG117" s="545">
        <f ca="1">IF(AND($D117="Serviço",AG$12&lt;&gt;0,$H117&gt;0,OR(AUTOEVENTO&lt;&gt;"manual",$M117&lt;&gt;1)), IF(Import.TipoArredondamento&lt;&gt;"TransfereGOV", ROUND(OFFSET($P117,0,AG$13),15-13*ORÇAMENTO!$AF$7)/$H117*OFFSET(ORÇAMENTO!$X$15,ROW(AG117)-ROW(AG$15),0), ROUND(ROUND(OFFSET($P117,0,AG$13),15-13*ORÇAMENTO!$AF$7)*OFFSET(ORÇAMENTO!$W$15,ROW(AG117)-ROW(AG$15),0),15-13*ORÇAMENTO!$AF$11)),0)</f>
        <v>0</v>
      </c>
      <c r="AH117" s="545">
        <f ca="1">IF(AND($D117="Serviço",AH$12&lt;&gt;0,$H117&gt;0,OR(AUTOEVENTO&lt;&gt;"manual",$M117&lt;&gt;1)), IF(Import.TipoArredondamento&lt;&gt;"TransfereGOV", ROUND(OFFSET($P117,0,AH$13),15-13*ORÇAMENTO!$AF$7)/$H117*OFFSET(ORÇAMENTO!$X$15,ROW(AH117)-ROW(AH$15),0), ROUND(ROUND(OFFSET($P117,0,AH$13),15-13*ORÇAMENTO!$AF$7)*OFFSET(ORÇAMENTO!$W$15,ROW(AH117)-ROW(AH$15),0),15-13*ORÇAMENTO!$AF$11)),0)</f>
        <v>0</v>
      </c>
      <c r="AI117" s="545">
        <f ca="1">IF(AND($D117="Serviço",AI$12&lt;&gt;0,$H117&gt;0,OR(AUTOEVENTO&lt;&gt;"manual",$M117&lt;&gt;1)), IF(Import.TipoArredondamento&lt;&gt;"TransfereGOV", ROUND(OFFSET($P117,0,AI$13),15-13*ORÇAMENTO!$AF$7)/$H117*OFFSET(ORÇAMENTO!$X$15,ROW(AI117)-ROW(AI$15),0), ROUND(ROUND(OFFSET($P117,0,AI$13),15-13*ORÇAMENTO!$AF$7)*OFFSET(ORÇAMENTO!$W$15,ROW(AI117)-ROW(AI$15),0),15-13*ORÇAMENTO!$AF$11)),0)</f>
        <v>0</v>
      </c>
      <c r="AJ117" s="545">
        <f ca="1">IF(AND($D117="Serviço",AJ$12&lt;&gt;0,$H117&gt;0,OR(AUTOEVENTO&lt;&gt;"manual",$M117&lt;&gt;1)), IF(Import.TipoArredondamento&lt;&gt;"TransfereGOV", ROUND(OFFSET($P117,0,AJ$13),15-13*ORÇAMENTO!$AF$7)/$H117*OFFSET(ORÇAMENTO!$X$15,ROW(AJ117)-ROW(AJ$15),0), ROUND(ROUND(OFFSET($P117,0,AJ$13),15-13*ORÇAMENTO!$AF$7)*OFFSET(ORÇAMENTO!$W$15,ROW(AJ117)-ROW(AJ$15),0),15-13*ORÇAMENTO!$AF$11)),0)</f>
        <v>0</v>
      </c>
      <c r="AK117" s="546">
        <f ca="1">IF(AND($D117="Serviço",AK$12&lt;&gt;0,$H117&gt;0,OR(AUTOEVENTO&lt;&gt;"manual",$M117&lt;&gt;1)), IF(Import.TipoArredondamento&lt;&gt;"TransfereGOV", ROUND(OFFSET($P117,0,AK$13),15-13*ORÇAMENTO!$AF$7)/$H117*OFFSET(ORÇAMENTO!$X$15,ROW(AK117)-ROW(AK$15),0), ROUND(ROUND(OFFSET($P117,0,AK$13),15-13*ORÇAMENTO!$AF$7)*OFFSET(ORÇAMENTO!$W$15,ROW(AK117)-ROW(AK$15),0),15-13*ORÇAMENTO!$AF$11)),0)</f>
        <v>0</v>
      </c>
      <c r="AM117" s="181">
        <f ca="1">IF($D117&lt;&gt;"Serviço",0,IF(AND(AUTOEVENTO="Manual",$M117=1),0,IF(OFFSET(CRONOPLE!$F$14,$M117,AM$13)="",10^12,OFFSET(CRONOPLE!$F$14,$M117,AM$13))))</f>
        <v>1000000000000</v>
      </c>
      <c r="AN117" s="181">
        <f ca="1">IF($D117&lt;&gt;"Serviço",0,IF(AND(AUTOEVENTO="Manual",$M117=1),0,IF(OFFSET(CRONOPLE!$F$14,$M117,AN$13)="",10^12,OFFSET(CRONOPLE!$F$14,$M117,AN$13))))</f>
        <v>1000000000000</v>
      </c>
      <c r="AO117" s="181">
        <f ca="1">IF($D117&lt;&gt;"Serviço",0,IF(AND(AUTOEVENTO="Manual",$M117=1),0,IF(OFFSET(CRONOPLE!$F$14,$M117,AO$13)="",10^12,OFFSET(CRONOPLE!$F$14,$M117,AO$13))))</f>
        <v>1000000000000</v>
      </c>
      <c r="AP117" s="181">
        <f ca="1">IF($D117&lt;&gt;"Serviço",0,IF(AND(AUTOEVENTO="Manual",$M117=1),0,IF(OFFSET(CRONOPLE!$F$14,$M117,AP$13)="",10^12,OFFSET(CRONOPLE!$F$14,$M117,AP$13))))</f>
        <v>1000000000000</v>
      </c>
      <c r="AQ117" s="181">
        <f ca="1">IF($D117&lt;&gt;"Serviço",0,IF(AND(AUTOEVENTO="Manual",$M117=1),0,IF(OFFSET(CRONOPLE!$F$14,$M117,AQ$13)="",10^12,OFFSET(CRONOPLE!$F$14,$M117,AQ$13))))</f>
        <v>1000000000000</v>
      </c>
      <c r="AR117" s="181">
        <f ca="1">IF($D117&lt;&gt;"Serviço",0,IF(AND(AUTOEVENTO="Manual",$M117=1),0,IF(OFFSET(CRONOPLE!$F$14,$M117,AR$13)="",10^12,OFFSET(CRONOPLE!$F$14,$M117,AR$13))))</f>
        <v>1000000000000</v>
      </c>
      <c r="AS117" s="181">
        <f ca="1">IF($D117&lt;&gt;"Serviço",0,IF(AND(AUTOEVENTO="Manual",$M117=1),0,IF(OFFSET(CRONOPLE!$F$14,$M117,AS$13)="",10^12,OFFSET(CRONOPLE!$F$14,$M117,AS$13))))</f>
        <v>1000000000000</v>
      </c>
      <c r="AT117" s="181">
        <f ca="1">IF($D117&lt;&gt;"Serviço",0,IF(AND(AUTOEVENTO="Manual",$M117=1),0,IF(OFFSET(CRONOPLE!$F$14,$M117,AT$13)="",10^12,OFFSET(CRONOPLE!$F$14,$M117,AT$13))))</f>
        <v>1000000000000</v>
      </c>
      <c r="AU117" s="181">
        <f ca="1">IF($D117&lt;&gt;"Serviço",0,IF(AND(AUTOEVENTO="Manual",$M117=1),0,IF(OFFSET(CRONOPLE!$F$14,$M117,AU$13)="",10^12,OFFSET(CRONOPLE!$F$14,$M117,AU$13))))</f>
        <v>1000000000000</v>
      </c>
      <c r="AV117" s="181">
        <f ca="1">IF($D117&lt;&gt;"Serviço",0,IF(AND(AUTOEVENTO="Manual",$M117=1),0,IF(OFFSET(CRONOPLE!$F$14,$M117,AV$13)="",10^12,OFFSET(CRONOPLE!$F$14,$M117,AV$13))))</f>
        <v>1000000000000</v>
      </c>
      <c r="AX117" s="182">
        <f ca="1">IF($D117&lt;&gt;"Serviço",0,IF(OR(AND(AUTOEVENTO="Manual",$M117=1),$M117&gt;(ROW(PLE.lastrow)-ROW(PLE.firstrow))),0,IF(OFFSET(PLE!$G$14,$M117,AX$13)="",10^12,OFFSET(PLE!$G$14,$M117,AX$13))))</f>
        <v>1000000000000</v>
      </c>
      <c r="AY117" s="182">
        <f ca="1">IF($D117&lt;&gt;"Serviço",0,IF(OR(AND(AUTOEVENTO="Manual",$M117=1),$M117&gt;(ROW(PLE.lastrow)-ROW(PLE.firstrow))),0,IF(OFFSET(PLE!$G$14,$M117,AY$13)="",10^12,OFFSET(PLE!$G$14,$M117,AY$13))))</f>
        <v>1000000000000</v>
      </c>
      <c r="AZ117" s="182">
        <f ca="1">IF($D117&lt;&gt;"Serviço",0,IF(OR(AND(AUTOEVENTO="Manual",$M117=1),$M117&gt;(ROW(PLE.lastrow)-ROW(PLE.firstrow))),0,IF(OFFSET(PLE!$G$14,$M117,AZ$13)="",10^12,OFFSET(PLE!$G$14,$M117,AZ$13))))</f>
        <v>1000000000000</v>
      </c>
      <c r="BA117" s="182">
        <f ca="1">IF($D117&lt;&gt;"Serviço",0,IF(OR(AND(AUTOEVENTO="Manual",$M117=1),$M117&gt;(ROW(PLE.lastrow)-ROW(PLE.firstrow))),0,IF(OFFSET(PLE!$G$14,$M117,BA$13)="",10^12,OFFSET(PLE!$G$14,$M117,BA$13))))</f>
        <v>1000000000000</v>
      </c>
      <c r="BB117" s="182">
        <f ca="1">IF($D117&lt;&gt;"Serviço",0,IF(OR(AND(AUTOEVENTO="Manual",$M117=1),$M117&gt;(ROW(PLE.lastrow)-ROW(PLE.firstrow))),0,IF(OFFSET(PLE!$G$14,$M117,BB$13)="",10^12,OFFSET(PLE!$G$14,$M117,BB$13))))</f>
        <v>1000000000000</v>
      </c>
      <c r="BC117" s="182">
        <f ca="1">IF($D117&lt;&gt;"Serviço",0,IF(OR(AND(AUTOEVENTO="Manual",$M117=1),$M117&gt;(ROW(PLE.lastrow)-ROW(PLE.firstrow))),0,IF(OFFSET(PLE!$G$14,$M117,BC$13)="",10^12,OFFSET(PLE!$G$14,$M117,BC$13))))</f>
        <v>1000000000000</v>
      </c>
      <c r="BD117" s="182">
        <f ca="1">IF($D117&lt;&gt;"Serviço",0,IF(OR(AND(AUTOEVENTO="Manual",$M117=1),$M117&gt;(ROW(PLE.lastrow)-ROW(PLE.firstrow))),0,IF(OFFSET(PLE!$G$14,$M117,BD$13)="",10^12,OFFSET(PLE!$G$14,$M117,BD$13))))</f>
        <v>1000000000000</v>
      </c>
      <c r="BE117" s="182">
        <f ca="1">IF($D117&lt;&gt;"Serviço",0,IF(OR(AND(AUTOEVENTO="Manual",$M117=1),$M117&gt;(ROW(PLE.lastrow)-ROW(PLE.firstrow))),0,IF(OFFSET(PLE!$G$14,$M117,BE$13)="",10^12,OFFSET(PLE!$G$14,$M117,BE$13))))</f>
        <v>1000000000000</v>
      </c>
      <c r="BF117" s="182">
        <f ca="1">IF($D117&lt;&gt;"Serviço",0,IF(OR(AND(AUTOEVENTO="Manual",$M117=1),$M117&gt;(ROW(PLE.lastrow)-ROW(PLE.firstrow))),0,IF(OFFSET(PLE!$G$14,$M117,BF$13)="",10^12,OFFSET(PLE!$G$14,$M117,BF$13))))</f>
        <v>1000000000000</v>
      </c>
      <c r="BG117" s="182">
        <f ca="1">IF($D117&lt;&gt;"Serviço",0,IF(OR(AND(AUTOEVENTO="Manual",$M117=1),$M117&gt;(ROW(PLE.lastrow)-ROW(PLE.firstrow))),0,IF(OFFSET(PLE!$G$14,$M117,BG$13)="",10^12,OFFSET(PLE!$G$14,$M117,BG$13))))</f>
        <v>1000000000000</v>
      </c>
    </row>
    <row r="118" spans="1:59" ht="12.75" x14ac:dyDescent="0.2">
      <c r="A118" s="7" t="str">
        <f t="shared" ca="1" si="10"/>
        <v>98</v>
      </c>
      <c r="B118" s="7" t="str">
        <f ca="1">OFFSET(ORÇAMENTO!C$15,ROW(B118)-ROW(B$15),0)</f>
        <v>S</v>
      </c>
      <c r="C118" s="7" t="str">
        <f ca="1">OFFSET(ORÇAMENTO!L$15,ROW(C118)-ROW(C$15),0)</f>
        <v>F</v>
      </c>
      <c r="D118" s="118" t="str">
        <f ca="1">OFFSET(ORÇAMENTO!N$15,ROW(D118)-ROW(D$15),0)</f>
        <v>Serviço</v>
      </c>
      <c r="E118" s="119" t="str">
        <f ca="1">OFFSET(ORÇAMENTO!O$15,ROW(E118)-ROW(E$15),0)</f>
        <v>3.5.5.</v>
      </c>
      <c r="F118" s="172" t="str">
        <f ca="1">OFFSET(ORÇAMENTO!R$15,ROW(F118)-ROW(F$15),0)</f>
        <v>Pintura de faixa com tinta acrílica - espessura de 0,6 mm</v>
      </c>
      <c r="G118" s="173" t="str">
        <f ca="1">IF($D118&lt;&gt;"Serviço","",OFFSET(ORÇAMENTO!S$15,ROW(G118)-ROW(G$15),0))</f>
        <v>m²</v>
      </c>
      <c r="H118" s="124">
        <f ca="1">IF($D118&lt;&gt;"Serviço",0,IF(ACOMPANHAMENTO="BM",ROUND(OFFSET(ORÇAMENTO!AJ$15,ROW(H118)-ROW(H$15),0),15-13*ORÇAMENTO!$AF$7),SUMPRODUCT(($Q$12:$AA$12&lt;&gt;"")*ROUND($Q118:$AA118,15-13*ORÇAMENTO!$AF$7))))</f>
        <v>52.5</v>
      </c>
      <c r="I118" s="561"/>
      <c r="K118" s="174"/>
      <c r="L118" s="175" t="s">
        <v>255</v>
      </c>
      <c r="M118" s="176">
        <f ca="1">IF($D118&lt;&gt;"Serviço","",IF(AUTOEVENTO="manual",$A118,IF(ISERROR(MATCH($A118,$A$15:OFFSET($A118,-1,0),0)),MAX($M$15:OFFSET(M118,-1,0))+1,INDEX($M$15:OFFSET(M118,-1,0),MATCH($A118,$A$15:OFFSET($A118,-1,0),0)))))</f>
        <v>16</v>
      </c>
      <c r="N118" s="177" t="str">
        <f ca="1">IF($D118&lt;&gt;"Serviço","",IF(AUTOEVENTO="Manual",IF($A118=0,"&lt;-- defina o número do agrupador",OFFSET(EVENTOS!$D$14,$A118,0)),OFFSET($F$15,$A118,0)))</f>
        <v>SINALIZAÇÃO</v>
      </c>
      <c r="O118" s="178"/>
      <c r="Q118" s="178"/>
      <c r="R118" s="179"/>
      <c r="S118" s="179"/>
      <c r="T118" s="179"/>
      <c r="U118" s="179"/>
      <c r="V118" s="179"/>
      <c r="W118" s="179"/>
      <c r="X118" s="179"/>
      <c r="Y118" s="179"/>
      <c r="Z118" s="180"/>
      <c r="AB118" s="544">
        <f ca="1">IF(AND($D118="Serviço",AB$12&lt;&gt;0,$H118&gt;0,OR(AUTOEVENTO&lt;&gt;"manual",$M118&lt;&gt;1)), IF(Import.TipoArredondamento&lt;&gt;"TransfereGOV", ROUND(OFFSET($P118,0,AB$13),15-13*ORÇAMENTO!$AF$7)/$H118*OFFSET(ORÇAMENTO!$X$15,ROW(AB118)-ROW(AB$15),0), ROUND(ROUND(OFFSET($P118,0,AB$13),15-13*ORÇAMENTO!$AF$7)*OFFSET(ORÇAMENTO!$W$15,ROW(AB118)-ROW(AB$15),0),15-13*ORÇAMENTO!$AF$11)),0)</f>
        <v>0</v>
      </c>
      <c r="AC118" s="545">
        <f ca="1">IF(AND($D118="Serviço",AC$12&lt;&gt;0,$H118&gt;0,OR(AUTOEVENTO&lt;&gt;"manual",$M118&lt;&gt;1)), IF(Import.TipoArredondamento&lt;&gt;"TransfereGOV", ROUND(OFFSET($P118,0,AC$13),15-13*ORÇAMENTO!$AF$7)/$H118*OFFSET(ORÇAMENTO!$X$15,ROW(AC118)-ROW(AC$15),0), ROUND(ROUND(OFFSET($P118,0,AC$13),15-13*ORÇAMENTO!$AF$7)*OFFSET(ORÇAMENTO!$W$15,ROW(AC118)-ROW(AC$15),0),15-13*ORÇAMENTO!$AF$11)),0)</f>
        <v>0</v>
      </c>
      <c r="AD118" s="545">
        <f ca="1">IF(AND($D118="Serviço",AD$12&lt;&gt;0,$H118&gt;0,OR(AUTOEVENTO&lt;&gt;"manual",$M118&lt;&gt;1)), IF(Import.TipoArredondamento&lt;&gt;"TransfereGOV", ROUND(OFFSET($P118,0,AD$13),15-13*ORÇAMENTO!$AF$7)/$H118*OFFSET(ORÇAMENTO!$X$15,ROW(AD118)-ROW(AD$15),0), ROUND(ROUND(OFFSET($P118,0,AD$13),15-13*ORÇAMENTO!$AF$7)*OFFSET(ORÇAMENTO!$W$15,ROW(AD118)-ROW(AD$15),0),15-13*ORÇAMENTO!$AF$11)),0)</f>
        <v>0</v>
      </c>
      <c r="AE118" s="545">
        <f ca="1">IF(AND($D118="Serviço",AE$12&lt;&gt;0,$H118&gt;0,OR(AUTOEVENTO&lt;&gt;"manual",$M118&lt;&gt;1)), IF(Import.TipoArredondamento&lt;&gt;"TransfereGOV", ROUND(OFFSET($P118,0,AE$13),15-13*ORÇAMENTO!$AF$7)/$H118*OFFSET(ORÇAMENTO!$X$15,ROW(AE118)-ROW(AE$15),0), ROUND(ROUND(OFFSET($P118,0,AE$13),15-13*ORÇAMENTO!$AF$7)*OFFSET(ORÇAMENTO!$W$15,ROW(AE118)-ROW(AE$15),0),15-13*ORÇAMENTO!$AF$11)),0)</f>
        <v>0</v>
      </c>
      <c r="AF118" s="545">
        <f ca="1">IF(AND($D118="Serviço",AF$12&lt;&gt;0,$H118&gt;0,OR(AUTOEVENTO&lt;&gt;"manual",$M118&lt;&gt;1)), IF(Import.TipoArredondamento&lt;&gt;"TransfereGOV", ROUND(OFFSET($P118,0,AF$13),15-13*ORÇAMENTO!$AF$7)/$H118*OFFSET(ORÇAMENTO!$X$15,ROW(AF118)-ROW(AF$15),0), ROUND(ROUND(OFFSET($P118,0,AF$13),15-13*ORÇAMENTO!$AF$7)*OFFSET(ORÇAMENTO!$W$15,ROW(AF118)-ROW(AF$15),0),15-13*ORÇAMENTO!$AF$11)),0)</f>
        <v>0</v>
      </c>
      <c r="AG118" s="545">
        <f ca="1">IF(AND($D118="Serviço",AG$12&lt;&gt;0,$H118&gt;0,OR(AUTOEVENTO&lt;&gt;"manual",$M118&lt;&gt;1)), IF(Import.TipoArredondamento&lt;&gt;"TransfereGOV", ROUND(OFFSET($P118,0,AG$13),15-13*ORÇAMENTO!$AF$7)/$H118*OFFSET(ORÇAMENTO!$X$15,ROW(AG118)-ROW(AG$15),0), ROUND(ROUND(OFFSET($P118,0,AG$13),15-13*ORÇAMENTO!$AF$7)*OFFSET(ORÇAMENTO!$W$15,ROW(AG118)-ROW(AG$15),0),15-13*ORÇAMENTO!$AF$11)),0)</f>
        <v>0</v>
      </c>
      <c r="AH118" s="545">
        <f ca="1">IF(AND($D118="Serviço",AH$12&lt;&gt;0,$H118&gt;0,OR(AUTOEVENTO&lt;&gt;"manual",$M118&lt;&gt;1)), IF(Import.TipoArredondamento&lt;&gt;"TransfereGOV", ROUND(OFFSET($P118,0,AH$13),15-13*ORÇAMENTO!$AF$7)/$H118*OFFSET(ORÇAMENTO!$X$15,ROW(AH118)-ROW(AH$15),0), ROUND(ROUND(OFFSET($P118,0,AH$13),15-13*ORÇAMENTO!$AF$7)*OFFSET(ORÇAMENTO!$W$15,ROW(AH118)-ROW(AH$15),0),15-13*ORÇAMENTO!$AF$11)),0)</f>
        <v>0</v>
      </c>
      <c r="AI118" s="545">
        <f ca="1">IF(AND($D118="Serviço",AI$12&lt;&gt;0,$H118&gt;0,OR(AUTOEVENTO&lt;&gt;"manual",$M118&lt;&gt;1)), IF(Import.TipoArredondamento&lt;&gt;"TransfereGOV", ROUND(OFFSET($P118,0,AI$13),15-13*ORÇAMENTO!$AF$7)/$H118*OFFSET(ORÇAMENTO!$X$15,ROW(AI118)-ROW(AI$15),0), ROUND(ROUND(OFFSET($P118,0,AI$13),15-13*ORÇAMENTO!$AF$7)*OFFSET(ORÇAMENTO!$W$15,ROW(AI118)-ROW(AI$15),0),15-13*ORÇAMENTO!$AF$11)),0)</f>
        <v>0</v>
      </c>
      <c r="AJ118" s="545">
        <f ca="1">IF(AND($D118="Serviço",AJ$12&lt;&gt;0,$H118&gt;0,OR(AUTOEVENTO&lt;&gt;"manual",$M118&lt;&gt;1)), IF(Import.TipoArredondamento&lt;&gt;"TransfereGOV", ROUND(OFFSET($P118,0,AJ$13),15-13*ORÇAMENTO!$AF$7)/$H118*OFFSET(ORÇAMENTO!$X$15,ROW(AJ118)-ROW(AJ$15),0), ROUND(ROUND(OFFSET($P118,0,AJ$13),15-13*ORÇAMENTO!$AF$7)*OFFSET(ORÇAMENTO!$W$15,ROW(AJ118)-ROW(AJ$15),0),15-13*ORÇAMENTO!$AF$11)),0)</f>
        <v>0</v>
      </c>
      <c r="AK118" s="546">
        <f ca="1">IF(AND($D118="Serviço",AK$12&lt;&gt;0,$H118&gt;0,OR(AUTOEVENTO&lt;&gt;"manual",$M118&lt;&gt;1)), IF(Import.TipoArredondamento&lt;&gt;"TransfereGOV", ROUND(OFFSET($P118,0,AK$13),15-13*ORÇAMENTO!$AF$7)/$H118*OFFSET(ORÇAMENTO!$X$15,ROW(AK118)-ROW(AK$15),0), ROUND(ROUND(OFFSET($P118,0,AK$13),15-13*ORÇAMENTO!$AF$7)*OFFSET(ORÇAMENTO!$W$15,ROW(AK118)-ROW(AK$15),0),15-13*ORÇAMENTO!$AF$11)),0)</f>
        <v>0</v>
      </c>
      <c r="AM118" s="181">
        <f ca="1">IF($D118&lt;&gt;"Serviço",0,IF(AND(AUTOEVENTO="Manual",$M118=1),0,IF(OFFSET(CRONOPLE!$F$14,$M118,AM$13)="",10^12,OFFSET(CRONOPLE!$F$14,$M118,AM$13))))</f>
        <v>1000000000000</v>
      </c>
      <c r="AN118" s="181">
        <f ca="1">IF($D118&lt;&gt;"Serviço",0,IF(AND(AUTOEVENTO="Manual",$M118=1),0,IF(OFFSET(CRONOPLE!$F$14,$M118,AN$13)="",10^12,OFFSET(CRONOPLE!$F$14,$M118,AN$13))))</f>
        <v>1000000000000</v>
      </c>
      <c r="AO118" s="181">
        <f ca="1">IF($D118&lt;&gt;"Serviço",0,IF(AND(AUTOEVENTO="Manual",$M118=1),0,IF(OFFSET(CRONOPLE!$F$14,$M118,AO$13)="",10^12,OFFSET(CRONOPLE!$F$14,$M118,AO$13))))</f>
        <v>1000000000000</v>
      </c>
      <c r="AP118" s="181">
        <f ca="1">IF($D118&lt;&gt;"Serviço",0,IF(AND(AUTOEVENTO="Manual",$M118=1),0,IF(OFFSET(CRONOPLE!$F$14,$M118,AP$13)="",10^12,OFFSET(CRONOPLE!$F$14,$M118,AP$13))))</f>
        <v>1000000000000</v>
      </c>
      <c r="AQ118" s="181">
        <f ca="1">IF($D118&lt;&gt;"Serviço",0,IF(AND(AUTOEVENTO="Manual",$M118=1),0,IF(OFFSET(CRONOPLE!$F$14,$M118,AQ$13)="",10^12,OFFSET(CRONOPLE!$F$14,$M118,AQ$13))))</f>
        <v>1000000000000</v>
      </c>
      <c r="AR118" s="181">
        <f ca="1">IF($D118&lt;&gt;"Serviço",0,IF(AND(AUTOEVENTO="Manual",$M118=1),0,IF(OFFSET(CRONOPLE!$F$14,$M118,AR$13)="",10^12,OFFSET(CRONOPLE!$F$14,$M118,AR$13))))</f>
        <v>1000000000000</v>
      </c>
      <c r="AS118" s="181">
        <f ca="1">IF($D118&lt;&gt;"Serviço",0,IF(AND(AUTOEVENTO="Manual",$M118=1),0,IF(OFFSET(CRONOPLE!$F$14,$M118,AS$13)="",10^12,OFFSET(CRONOPLE!$F$14,$M118,AS$13))))</f>
        <v>1000000000000</v>
      </c>
      <c r="AT118" s="181">
        <f ca="1">IF($D118&lt;&gt;"Serviço",0,IF(AND(AUTOEVENTO="Manual",$M118=1),0,IF(OFFSET(CRONOPLE!$F$14,$M118,AT$13)="",10^12,OFFSET(CRONOPLE!$F$14,$M118,AT$13))))</f>
        <v>1000000000000</v>
      </c>
      <c r="AU118" s="181">
        <f ca="1">IF($D118&lt;&gt;"Serviço",0,IF(AND(AUTOEVENTO="Manual",$M118=1),0,IF(OFFSET(CRONOPLE!$F$14,$M118,AU$13)="",10^12,OFFSET(CRONOPLE!$F$14,$M118,AU$13))))</f>
        <v>1000000000000</v>
      </c>
      <c r="AV118" s="181">
        <f ca="1">IF($D118&lt;&gt;"Serviço",0,IF(AND(AUTOEVENTO="Manual",$M118=1),0,IF(OFFSET(CRONOPLE!$F$14,$M118,AV$13)="",10^12,OFFSET(CRONOPLE!$F$14,$M118,AV$13))))</f>
        <v>1000000000000</v>
      </c>
      <c r="AX118" s="182">
        <f ca="1">IF($D118&lt;&gt;"Serviço",0,IF(OR(AND(AUTOEVENTO="Manual",$M118=1),$M118&gt;(ROW(PLE.lastrow)-ROW(PLE.firstrow))),0,IF(OFFSET(PLE!$G$14,$M118,AX$13)="",10^12,OFFSET(PLE!$G$14,$M118,AX$13))))</f>
        <v>1000000000000</v>
      </c>
      <c r="AY118" s="182">
        <f ca="1">IF($D118&lt;&gt;"Serviço",0,IF(OR(AND(AUTOEVENTO="Manual",$M118=1),$M118&gt;(ROW(PLE.lastrow)-ROW(PLE.firstrow))),0,IF(OFFSET(PLE!$G$14,$M118,AY$13)="",10^12,OFFSET(PLE!$G$14,$M118,AY$13))))</f>
        <v>1000000000000</v>
      </c>
      <c r="AZ118" s="182">
        <f ca="1">IF($D118&lt;&gt;"Serviço",0,IF(OR(AND(AUTOEVENTO="Manual",$M118=1),$M118&gt;(ROW(PLE.lastrow)-ROW(PLE.firstrow))),0,IF(OFFSET(PLE!$G$14,$M118,AZ$13)="",10^12,OFFSET(PLE!$G$14,$M118,AZ$13))))</f>
        <v>1000000000000</v>
      </c>
      <c r="BA118" s="182">
        <f ca="1">IF($D118&lt;&gt;"Serviço",0,IF(OR(AND(AUTOEVENTO="Manual",$M118=1),$M118&gt;(ROW(PLE.lastrow)-ROW(PLE.firstrow))),0,IF(OFFSET(PLE!$G$14,$M118,BA$13)="",10^12,OFFSET(PLE!$G$14,$M118,BA$13))))</f>
        <v>1000000000000</v>
      </c>
      <c r="BB118" s="182">
        <f ca="1">IF($D118&lt;&gt;"Serviço",0,IF(OR(AND(AUTOEVENTO="Manual",$M118=1),$M118&gt;(ROW(PLE.lastrow)-ROW(PLE.firstrow))),0,IF(OFFSET(PLE!$G$14,$M118,BB$13)="",10^12,OFFSET(PLE!$G$14,$M118,BB$13))))</f>
        <v>1000000000000</v>
      </c>
      <c r="BC118" s="182">
        <f ca="1">IF($D118&lt;&gt;"Serviço",0,IF(OR(AND(AUTOEVENTO="Manual",$M118=1),$M118&gt;(ROW(PLE.lastrow)-ROW(PLE.firstrow))),0,IF(OFFSET(PLE!$G$14,$M118,BC$13)="",10^12,OFFSET(PLE!$G$14,$M118,BC$13))))</f>
        <v>1000000000000</v>
      </c>
      <c r="BD118" s="182">
        <f ca="1">IF($D118&lt;&gt;"Serviço",0,IF(OR(AND(AUTOEVENTO="Manual",$M118=1),$M118&gt;(ROW(PLE.lastrow)-ROW(PLE.firstrow))),0,IF(OFFSET(PLE!$G$14,$M118,BD$13)="",10^12,OFFSET(PLE!$G$14,$M118,BD$13))))</f>
        <v>1000000000000</v>
      </c>
      <c r="BE118" s="182">
        <f ca="1">IF($D118&lt;&gt;"Serviço",0,IF(OR(AND(AUTOEVENTO="Manual",$M118=1),$M118&gt;(ROW(PLE.lastrow)-ROW(PLE.firstrow))),0,IF(OFFSET(PLE!$G$14,$M118,BE$13)="",10^12,OFFSET(PLE!$G$14,$M118,BE$13))))</f>
        <v>1000000000000</v>
      </c>
      <c r="BF118" s="182">
        <f ca="1">IF($D118&lt;&gt;"Serviço",0,IF(OR(AND(AUTOEVENTO="Manual",$M118=1),$M118&gt;(ROW(PLE.lastrow)-ROW(PLE.firstrow))),0,IF(OFFSET(PLE!$G$14,$M118,BF$13)="",10^12,OFFSET(PLE!$G$14,$M118,BF$13))))</f>
        <v>1000000000000</v>
      </c>
      <c r="BG118" s="182">
        <f ca="1">IF($D118&lt;&gt;"Serviço",0,IF(OR(AND(AUTOEVENTO="Manual",$M118=1),$M118&gt;(ROW(PLE.lastrow)-ROW(PLE.firstrow))),0,IF(OFFSET(PLE!$G$14,$M118,BG$13)="",10^12,OFFSET(PLE!$G$14,$M118,BG$13))))</f>
        <v>1000000000000</v>
      </c>
    </row>
    <row r="119" spans="1:59" ht="5.0999999999999996" customHeight="1" x14ac:dyDescent="0.2">
      <c r="B119" s="7">
        <f ca="1">OFFSET(ORÇAMENTO!C$15,ROW(B119)-ROW(B$15),0)</f>
        <v>-1</v>
      </c>
      <c r="C119" s="7" t="str">
        <f ca="1">OFFSET(ORÇAMENTO!L$15,ROW(C119)-ROW(C$15),0)</f>
        <v>F</v>
      </c>
      <c r="D119" s="483" t="s">
        <v>194</v>
      </c>
      <c r="E119" s="484"/>
      <c r="F119" s="485"/>
      <c r="G119" s="485"/>
      <c r="H119" s="485"/>
      <c r="I119" s="486"/>
      <c r="K119" s="488"/>
      <c r="L119" s="175" t="s">
        <v>255</v>
      </c>
      <c r="M119" s="489"/>
      <c r="N119" s="487"/>
      <c r="O119" s="482"/>
      <c r="Q119" s="484"/>
      <c r="R119" s="485"/>
      <c r="S119" s="485"/>
      <c r="T119" s="485"/>
      <c r="U119" s="485"/>
      <c r="V119" s="485"/>
      <c r="W119" s="485"/>
      <c r="X119" s="485"/>
      <c r="Y119" s="485"/>
      <c r="Z119" s="486"/>
      <c r="AB119" s="138"/>
      <c r="AC119" s="192"/>
      <c r="AD119" s="192"/>
      <c r="AE119" s="192"/>
      <c r="AF119" s="192"/>
      <c r="AG119" s="192"/>
      <c r="AH119" s="192"/>
      <c r="AI119" s="192"/>
      <c r="AJ119" s="192"/>
      <c r="AK119" s="139"/>
      <c r="AM119" s="138"/>
      <c r="AN119" s="192"/>
      <c r="AO119" s="192"/>
      <c r="AP119" s="192"/>
      <c r="AQ119" s="192"/>
      <c r="AR119" s="192"/>
      <c r="AS119" s="192"/>
      <c r="AT119" s="192"/>
      <c r="AU119" s="192"/>
      <c r="AV119" s="139"/>
      <c r="AX119" s="138"/>
      <c r="AY119" s="192"/>
      <c r="AZ119" s="192"/>
      <c r="BA119" s="192"/>
      <c r="BB119" s="192"/>
      <c r="BC119" s="192"/>
      <c r="BD119" s="192"/>
      <c r="BE119" s="192"/>
      <c r="BF119" s="192"/>
      <c r="BG119" s="139"/>
    </row>
    <row r="120" spans="1:59" ht="12.75" customHeight="1" x14ac:dyDescent="0.2"/>
    <row r="121" spans="1:59" ht="12.75" customHeight="1" x14ac:dyDescent="0.2"/>
    <row r="122" spans="1:59" ht="12.75" customHeight="1" x14ac:dyDescent="0.2"/>
    <row r="123" spans="1:59" ht="15" customHeight="1" x14ac:dyDescent="0.2">
      <c r="F123" s="193" t="str">
        <f>Import.Município</f>
        <v>CÂNDIDO GODÓI</v>
      </c>
      <c r="I123" s="553"/>
      <c r="J123" s="553"/>
      <c r="K123" s="553"/>
      <c r="L123" s="553"/>
      <c r="M123" s="554"/>
      <c r="N123" s="479"/>
      <c r="T123" s="145"/>
      <c r="U123" s="145"/>
      <c r="V123" s="194"/>
      <c r="W123" s="194"/>
      <c r="X123" s="194"/>
      <c r="Y123" s="194"/>
    </row>
    <row r="124" spans="1:59" ht="12.75" customHeight="1" x14ac:dyDescent="0.2">
      <c r="F124" s="10" t="s">
        <v>188</v>
      </c>
      <c r="I124" s="195" t="s">
        <v>190</v>
      </c>
      <c r="J124" s="195"/>
      <c r="K124" s="195"/>
      <c r="L124" s="195"/>
      <c r="T124" s="195" t="s">
        <v>190</v>
      </c>
      <c r="U124" s="195"/>
    </row>
    <row r="125" spans="1:59" ht="12.75" customHeight="1" x14ac:dyDescent="0.2">
      <c r="I125" s="447" t="str">
        <f t="array" aca="1" ref="I125:I127" ca="1">OFFSET(Import.RespOrçamento,0,-1) &amp; " " &amp; Import.RespOrçamento</f>
        <v>Nome: DANIEL RODRIGO GOERLACH</v>
      </c>
      <c r="K125" s="80"/>
      <c r="L125" s="80"/>
      <c r="T125" s="447" t="str">
        <f t="array" aca="1" ref="T125:T127" ca="1">OFFSET(Import.RespOrçamento,0,-1) &amp; " " &amp; Import.RespOrçamento</f>
        <v>Nome: DANIEL RODRIGO GOERLACH</v>
      </c>
      <c r="U125" s="79"/>
    </row>
    <row r="126" spans="1:59" ht="12.75" customHeight="1" x14ac:dyDescent="0.2">
      <c r="F126" s="552">
        <f ca="1">DADOS!$F$25</f>
        <v>46037</v>
      </c>
      <c r="I126" s="447" t="str">
        <f ca="1"/>
        <v>CREA/CAU: CREA/RS 130.189</v>
      </c>
      <c r="K126" s="80"/>
      <c r="L126" s="80"/>
      <c r="T126" s="447" t="str">
        <f ca="1"/>
        <v>CREA/CAU: CREA/RS 130.189</v>
      </c>
      <c r="U126" s="79"/>
    </row>
    <row r="127" spans="1:59" ht="12.75" customHeight="1" x14ac:dyDescent="0.2">
      <c r="F127" s="146" t="s">
        <v>189</v>
      </c>
      <c r="I127" s="447" t="str">
        <f ca="1"/>
        <v xml:space="preserve">ART/RRT: </v>
      </c>
      <c r="K127" s="80"/>
      <c r="L127" s="80"/>
      <c r="T127" s="447" t="str">
        <f ca="1"/>
        <v xml:space="preserve">ART/RRT: </v>
      </c>
      <c r="U127" s="79"/>
    </row>
    <row r="128" spans="1:59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04" spans="3:13" ht="12.75" customHeight="1" x14ac:dyDescent="0.2">
      <c r="C4304"/>
      <c r="M4304"/>
    </row>
    <row r="4305" spans="3:13" ht="12.75" customHeight="1" x14ac:dyDescent="0.2">
      <c r="C4305"/>
      <c r="M4305"/>
    </row>
    <row r="4306" spans="3:13" ht="12.75" customHeight="1" x14ac:dyDescent="0.2">
      <c r="C4306"/>
      <c r="M4306"/>
    </row>
    <row r="4307" spans="3:13" ht="12.75" customHeight="1" x14ac:dyDescent="0.2">
      <c r="C4307"/>
      <c r="M4307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4312" spans="3:13" ht="12.75" customHeight="1" x14ac:dyDescent="0.2">
      <c r="C4312"/>
      <c r="M4312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4317" spans="3:13" ht="12.75" customHeight="1" x14ac:dyDescent="0.2">
      <c r="C4317"/>
      <c r="M4317"/>
    </row>
    <row r="4318" spans="3:13" ht="12.75" customHeight="1" x14ac:dyDescent="0.2">
      <c r="C4318"/>
      <c r="M4318"/>
    </row>
    <row r="4319" spans="3:13" ht="12.75" customHeight="1" x14ac:dyDescent="0.2">
      <c r="C4319"/>
      <c r="M4319"/>
    </row>
    <row r="4320" spans="3:13" ht="12.75" customHeight="1" x14ac:dyDescent="0.2">
      <c r="C4320"/>
      <c r="M4320"/>
    </row>
    <row r="4321" spans="3:13" ht="12.75" customHeight="1" x14ac:dyDescent="0.2">
      <c r="C4321"/>
      <c r="M4321"/>
    </row>
    <row r="4322" spans="3:13" ht="12.75" customHeight="1" x14ac:dyDescent="0.2">
      <c r="C4322"/>
      <c r="M4322"/>
    </row>
    <row r="4323" spans="3:13" ht="12.75" customHeight="1" x14ac:dyDescent="0.2">
      <c r="C4323"/>
      <c r="M4323"/>
    </row>
    <row r="4324" spans="3:13" ht="12.75" customHeight="1" x14ac:dyDescent="0.2">
      <c r="C4324"/>
      <c r="M4324"/>
    </row>
    <row r="4325" spans="3:13" ht="12.75" customHeight="1" x14ac:dyDescent="0.2">
      <c r="C4325"/>
      <c r="M4325"/>
    </row>
    <row r="4326" spans="3:13" ht="12.75" customHeight="1" x14ac:dyDescent="0.2">
      <c r="C4326"/>
      <c r="M4326"/>
    </row>
    <row r="4327" spans="3:13" ht="12.75" customHeight="1" x14ac:dyDescent="0.2">
      <c r="C4327"/>
      <c r="M4327"/>
    </row>
    <row r="4328" spans="3:13" ht="12.75" customHeight="1" x14ac:dyDescent="0.2">
      <c r="C4328"/>
      <c r="M4328"/>
    </row>
    <row r="4329" spans="3:13" ht="12.75" customHeight="1" x14ac:dyDescent="0.2">
      <c r="C4329"/>
      <c r="M4329"/>
    </row>
    <row r="4330" spans="3:13" ht="12.75" customHeight="1" x14ac:dyDescent="0.2">
      <c r="C4330"/>
      <c r="M4330"/>
    </row>
    <row r="4331" spans="3:13" ht="12.75" customHeight="1" x14ac:dyDescent="0.2">
      <c r="C4331"/>
      <c r="M4331"/>
    </row>
    <row r="4332" spans="3:13" ht="12.75" customHeight="1" x14ac:dyDescent="0.2">
      <c r="C4332"/>
      <c r="M4332"/>
    </row>
    <row r="4333" spans="3:13" ht="12.75" customHeight="1" x14ac:dyDescent="0.2">
      <c r="C4333"/>
      <c r="M4333"/>
    </row>
    <row r="4334" spans="3:13" ht="12.75" customHeight="1" x14ac:dyDescent="0.2">
      <c r="C4334"/>
      <c r="M4334"/>
    </row>
    <row r="4335" spans="3:13" ht="12.75" customHeight="1" x14ac:dyDescent="0.2">
      <c r="C4335"/>
      <c r="M4335"/>
    </row>
    <row r="4336" spans="3:13" ht="12.75" customHeight="1" x14ac:dyDescent="0.2">
      <c r="C4336"/>
      <c r="M4336"/>
    </row>
    <row r="4337" spans="3:13" ht="12.75" customHeight="1" x14ac:dyDescent="0.2">
      <c r="C4337"/>
      <c r="M4337"/>
    </row>
    <row r="4338" spans="3:13" ht="12.75" customHeight="1" x14ac:dyDescent="0.2">
      <c r="C4338"/>
      <c r="M4338"/>
    </row>
    <row r="4339" spans="3:13" ht="12.75" customHeight="1" x14ac:dyDescent="0.2">
      <c r="C4339"/>
      <c r="M4339"/>
    </row>
    <row r="4340" spans="3:13" ht="12.75" customHeight="1" x14ac:dyDescent="0.2">
      <c r="C4340"/>
      <c r="M4340"/>
    </row>
    <row r="4341" spans="3:13" ht="12.75" customHeight="1" x14ac:dyDescent="0.2">
      <c r="C4341"/>
      <c r="M4341"/>
    </row>
    <row r="4342" spans="3:13" ht="12.75" customHeight="1" x14ac:dyDescent="0.2">
      <c r="C4342"/>
      <c r="M4342"/>
    </row>
    <row r="4343" spans="3:13" ht="12.75" customHeight="1" x14ac:dyDescent="0.2">
      <c r="C4343"/>
      <c r="M4343"/>
    </row>
    <row r="4344" spans="3:13" ht="12.75" customHeight="1" x14ac:dyDescent="0.2">
      <c r="C4344"/>
      <c r="M4344"/>
    </row>
    <row r="4345" spans="3:13" ht="12.75" customHeight="1" x14ac:dyDescent="0.2">
      <c r="C4345"/>
      <c r="M4345"/>
    </row>
    <row r="4346" spans="3:13" ht="12.75" customHeight="1" x14ac:dyDescent="0.2">
      <c r="C4346"/>
      <c r="M4346"/>
    </row>
    <row r="4347" spans="3:13" ht="12.75" customHeight="1" x14ac:dyDescent="0.2">
      <c r="C4347"/>
      <c r="M4347"/>
    </row>
    <row r="4348" spans="3:13" ht="12.75" customHeight="1" x14ac:dyDescent="0.2">
      <c r="C4348"/>
      <c r="M4348"/>
    </row>
    <row r="4349" spans="3:13" ht="12.75" customHeight="1" x14ac:dyDescent="0.2">
      <c r="C4349"/>
      <c r="M4349"/>
    </row>
    <row r="4350" spans="3:13" ht="12.75" customHeight="1" x14ac:dyDescent="0.2">
      <c r="C4350"/>
      <c r="M4350"/>
    </row>
    <row r="4351" spans="3:13" ht="12.75" customHeight="1" x14ac:dyDescent="0.2">
      <c r="C4351"/>
      <c r="M4351"/>
    </row>
    <row r="4352" spans="3:13" ht="12.75" customHeight="1" x14ac:dyDescent="0.2">
      <c r="C4352"/>
      <c r="M4352"/>
    </row>
    <row r="4353" spans="3:13" ht="12.75" customHeight="1" x14ac:dyDescent="0.2">
      <c r="C4353"/>
      <c r="M4353"/>
    </row>
    <row r="4354" spans="3:13" ht="12.75" customHeight="1" x14ac:dyDescent="0.2">
      <c r="C4354"/>
      <c r="M4354"/>
    </row>
    <row r="4355" spans="3:13" ht="12.75" customHeight="1" x14ac:dyDescent="0.2">
      <c r="C4355"/>
      <c r="M4355"/>
    </row>
    <row r="4356" spans="3:13" ht="12.75" customHeight="1" x14ac:dyDescent="0.2">
      <c r="C4356"/>
      <c r="M4356"/>
    </row>
    <row r="4357" spans="3:13" ht="12.75" customHeight="1" x14ac:dyDescent="0.2">
      <c r="C4357"/>
      <c r="M4357"/>
    </row>
    <row r="4358" spans="3:13" ht="12.75" customHeight="1" x14ac:dyDescent="0.2">
      <c r="C4358"/>
      <c r="M4358"/>
    </row>
    <row r="4359" spans="3:13" ht="12.75" customHeight="1" x14ac:dyDescent="0.2">
      <c r="C4359"/>
      <c r="M4359"/>
    </row>
    <row r="4360" spans="3:13" ht="12.75" customHeight="1" x14ac:dyDescent="0.2">
      <c r="C4360"/>
      <c r="M4360"/>
    </row>
    <row r="4361" spans="3:13" ht="0" hidden="1" customHeight="1" x14ac:dyDescent="0.2"/>
    <row r="4362" spans="3:13" ht="0" hidden="1" customHeight="1" x14ac:dyDescent="0.2"/>
    <row r="4370" spans="3:13" ht="12.75" customHeight="1" x14ac:dyDescent="0.2">
      <c r="C4370"/>
      <c r="M4370"/>
    </row>
    <row r="4371" spans="3:13" ht="12.75" customHeight="1" x14ac:dyDescent="0.2">
      <c r="C4371"/>
      <c r="M4371"/>
    </row>
    <row r="4372" spans="3:13" ht="12.75" customHeight="1" x14ac:dyDescent="0.2">
      <c r="C4372"/>
      <c r="M4372"/>
    </row>
    <row r="4373" spans="3:13" ht="12.75" customHeight="1" x14ac:dyDescent="0.2">
      <c r="C4373"/>
      <c r="M4373"/>
    </row>
    <row r="4376" spans="3:13" ht="0" hidden="1" customHeight="1" x14ac:dyDescent="0.2"/>
    <row r="4388" ht="0" hidden="1" customHeight="1" x14ac:dyDescent="0.2"/>
    <row r="61015" ht="0" hidden="1" customHeight="1" x14ac:dyDescent="0.2"/>
    <row r="61031" spans="3:13" ht="12.75" customHeight="1" x14ac:dyDescent="0.2">
      <c r="C61031"/>
      <c r="M61031"/>
    </row>
    <row r="61047" spans="3:13" ht="12.75" customHeight="1" x14ac:dyDescent="0.2">
      <c r="C61047"/>
      <c r="M61047"/>
    </row>
    <row r="61060" spans="3:13" ht="0" hidden="1" customHeight="1" x14ac:dyDescent="0.2"/>
    <row r="61063" spans="3:13" ht="12.75" customHeight="1" x14ac:dyDescent="0.2">
      <c r="C61063"/>
      <c r="M61063"/>
    </row>
    <row r="61076" spans="3:13" ht="0" hidden="1" customHeight="1" x14ac:dyDescent="0.2"/>
    <row r="61077" spans="3:13" ht="0" hidden="1" customHeight="1" x14ac:dyDescent="0.2"/>
    <row r="61079" spans="3:13" ht="12.75" customHeight="1" x14ac:dyDescent="0.2">
      <c r="C61079"/>
      <c r="M61079"/>
    </row>
    <row r="61090" spans="3:13" ht="0" hidden="1" customHeight="1" x14ac:dyDescent="0.2"/>
    <row r="61091" spans="3:13" ht="0" hidden="1" customHeight="1" x14ac:dyDescent="0.2"/>
    <row r="61092" spans="3:13" ht="12.75" customHeight="1" x14ac:dyDescent="0.2">
      <c r="C61092"/>
      <c r="M61092"/>
    </row>
    <row r="61093" spans="3:13" ht="12.75" customHeight="1" x14ac:dyDescent="0.2">
      <c r="C61093"/>
      <c r="M61093"/>
    </row>
    <row r="61095" spans="3:13" ht="12.75" customHeight="1" x14ac:dyDescent="0.2">
      <c r="C61095"/>
      <c r="M61095"/>
    </row>
    <row r="61106" spans="3:13" ht="12.75" customHeight="1" x14ac:dyDescent="0.2">
      <c r="C61106"/>
      <c r="M61106"/>
    </row>
    <row r="61107" spans="3:13" ht="12.75" customHeight="1" x14ac:dyDescent="0.2">
      <c r="C61107"/>
      <c r="M61107"/>
    </row>
    <row r="61108" spans="3:13" ht="12.75" customHeight="1" x14ac:dyDescent="0.2">
      <c r="C61108"/>
      <c r="M61108"/>
    </row>
    <row r="61109" spans="3:13" ht="12.75" customHeight="1" x14ac:dyDescent="0.2">
      <c r="C61109"/>
      <c r="M61109"/>
    </row>
    <row r="61111" spans="3:13" ht="12.75" customHeight="1" x14ac:dyDescent="0.2">
      <c r="C61111"/>
      <c r="M61111"/>
    </row>
    <row r="61122" spans="3:13" ht="12.75" customHeight="1" x14ac:dyDescent="0.2">
      <c r="C61122"/>
      <c r="M61122"/>
    </row>
    <row r="61123" spans="3:13" ht="12.75" customHeight="1" x14ac:dyDescent="0.2">
      <c r="C61123"/>
      <c r="M61123"/>
    </row>
    <row r="61124" spans="3:13" ht="12.75" customHeight="1" x14ac:dyDescent="0.2">
      <c r="C61124"/>
      <c r="M61124"/>
    </row>
    <row r="61125" spans="3:13" ht="12.75" customHeight="1" x14ac:dyDescent="0.2">
      <c r="C61125"/>
      <c r="M61125"/>
    </row>
    <row r="61127" spans="3:13" ht="12.75" customHeight="1" x14ac:dyDescent="0.2">
      <c r="C61127"/>
      <c r="M61127"/>
    </row>
    <row r="61138" spans="3:13" ht="12.75" customHeight="1" x14ac:dyDescent="0.2">
      <c r="C61138"/>
      <c r="M61138"/>
    </row>
    <row r="61139" spans="3:13" ht="12.75" customHeight="1" x14ac:dyDescent="0.2">
      <c r="C61139"/>
      <c r="M61139"/>
    </row>
    <row r="61140" spans="3:13" ht="12.75" customHeight="1" x14ac:dyDescent="0.2">
      <c r="C61140"/>
      <c r="M61140"/>
    </row>
    <row r="61141" spans="3:13" ht="12.75" customHeight="1" x14ac:dyDescent="0.2">
      <c r="C61141"/>
      <c r="M61141"/>
    </row>
    <row r="61143" spans="3:13" ht="12.75" customHeight="1" x14ac:dyDescent="0.2">
      <c r="C61143"/>
      <c r="M61143"/>
    </row>
    <row r="61154" spans="3:13" ht="12.75" customHeight="1" x14ac:dyDescent="0.2">
      <c r="C61154"/>
      <c r="M61154"/>
    </row>
    <row r="61155" spans="3:13" ht="12.75" customHeight="1" x14ac:dyDescent="0.2">
      <c r="C61155"/>
      <c r="M61155"/>
    </row>
    <row r="61156" spans="3:13" ht="12.75" customHeight="1" x14ac:dyDescent="0.2">
      <c r="C61156"/>
      <c r="M61156"/>
    </row>
    <row r="61157" spans="3:13" ht="12.75" customHeight="1" x14ac:dyDescent="0.2">
      <c r="C61157"/>
      <c r="M61157"/>
    </row>
    <row r="61159" spans="3:13" ht="12.75" customHeight="1" x14ac:dyDescent="0.2">
      <c r="C61159"/>
      <c r="M61159"/>
    </row>
    <row r="61170" spans="3:13" ht="12.75" customHeight="1" x14ac:dyDescent="0.2">
      <c r="C61170"/>
      <c r="M61170"/>
    </row>
    <row r="61171" spans="3:13" ht="12.75" customHeight="1" x14ac:dyDescent="0.2">
      <c r="C61171"/>
      <c r="M61171"/>
    </row>
    <row r="61172" spans="3:13" ht="12.75" customHeight="1" x14ac:dyDescent="0.2">
      <c r="C61172"/>
      <c r="M61172"/>
    </row>
    <row r="61173" spans="3:13" ht="12.75" customHeight="1" x14ac:dyDescent="0.2">
      <c r="C61173"/>
      <c r="M61173"/>
    </row>
    <row r="61175" spans="3:13" ht="12.75" customHeight="1" x14ac:dyDescent="0.2">
      <c r="C61175"/>
      <c r="M61175"/>
    </row>
    <row r="61186" spans="3:13" ht="12.75" customHeight="1" x14ac:dyDescent="0.2">
      <c r="C61186"/>
      <c r="M61186"/>
    </row>
    <row r="61187" spans="3:13" ht="12.75" customHeight="1" x14ac:dyDescent="0.2">
      <c r="C61187"/>
      <c r="M61187"/>
    </row>
    <row r="61188" spans="3:13" ht="12.75" customHeight="1" x14ac:dyDescent="0.2">
      <c r="C61188"/>
      <c r="M61188"/>
    </row>
    <row r="61189" spans="3:13" ht="12.75" customHeight="1" x14ac:dyDescent="0.2">
      <c r="C61189"/>
      <c r="M61189"/>
    </row>
    <row r="61191" spans="3:13" ht="12.75" customHeight="1" x14ac:dyDescent="0.2">
      <c r="C61191"/>
      <c r="M61191"/>
    </row>
    <row r="61202" spans="3:13" ht="12.75" customHeight="1" x14ac:dyDescent="0.2">
      <c r="C61202"/>
      <c r="M61202"/>
    </row>
    <row r="61203" spans="3:13" ht="12.75" customHeight="1" x14ac:dyDescent="0.2">
      <c r="C61203"/>
      <c r="M61203"/>
    </row>
    <row r="61204" spans="3:13" ht="12.75" customHeight="1" x14ac:dyDescent="0.2">
      <c r="C61204"/>
      <c r="M61204"/>
    </row>
    <row r="61205" spans="3:13" ht="12.75" customHeight="1" x14ac:dyDescent="0.2">
      <c r="C61205"/>
      <c r="M61205"/>
    </row>
    <row r="61207" spans="3:13" ht="12.75" customHeight="1" x14ac:dyDescent="0.2">
      <c r="C61207"/>
      <c r="M61207"/>
    </row>
    <row r="61215" spans="3:13" ht="0" hidden="1" customHeight="1" x14ac:dyDescent="0.2"/>
    <row r="61218" spans="3:13" ht="12.75" customHeight="1" x14ac:dyDescent="0.2">
      <c r="C61218"/>
      <c r="M61218"/>
    </row>
    <row r="61219" spans="3:13" ht="12.75" customHeight="1" x14ac:dyDescent="0.2">
      <c r="C61219"/>
      <c r="M61219"/>
    </row>
    <row r="61220" spans="3:13" ht="12.75" customHeight="1" x14ac:dyDescent="0.2">
      <c r="C61220"/>
      <c r="M61220"/>
    </row>
    <row r="61221" spans="3:13" ht="12.75" customHeight="1" x14ac:dyDescent="0.2">
      <c r="C61221"/>
      <c r="M61221"/>
    </row>
    <row r="61223" spans="3:13" ht="12.75" customHeight="1" x14ac:dyDescent="0.2">
      <c r="C61223"/>
      <c r="M61223"/>
    </row>
    <row r="61231" spans="3:13" ht="12.75" customHeight="1" x14ac:dyDescent="0.2">
      <c r="C61231"/>
      <c r="M61231"/>
    </row>
    <row r="61234" spans="3:13" ht="12.75" customHeight="1" x14ac:dyDescent="0.2">
      <c r="C61234"/>
      <c r="M61234"/>
    </row>
    <row r="61235" spans="3:13" ht="12.75" customHeight="1" x14ac:dyDescent="0.2">
      <c r="C61235"/>
      <c r="M61235"/>
    </row>
    <row r="61236" spans="3:13" ht="12.75" customHeight="1" x14ac:dyDescent="0.2">
      <c r="C61236"/>
      <c r="M61236"/>
    </row>
    <row r="61237" spans="3:13" ht="12.75" customHeight="1" x14ac:dyDescent="0.2">
      <c r="C61237"/>
      <c r="M61237"/>
    </row>
    <row r="61239" spans="3:13" ht="12.75" customHeight="1" x14ac:dyDescent="0.2">
      <c r="C61239"/>
      <c r="M61239"/>
    </row>
    <row r="61247" spans="3:13" ht="12.75" customHeight="1" x14ac:dyDescent="0.2">
      <c r="C61247"/>
      <c r="M61247"/>
    </row>
    <row r="61248" spans="3:13" ht="0" hidden="1" customHeight="1" x14ac:dyDescent="0.2"/>
    <row r="61250" spans="3:13" ht="12.75" customHeight="1" x14ac:dyDescent="0.2">
      <c r="C61250"/>
      <c r="M61250"/>
    </row>
    <row r="61251" spans="3:13" ht="12.75" customHeight="1" x14ac:dyDescent="0.2">
      <c r="C61251"/>
      <c r="M61251"/>
    </row>
    <row r="61252" spans="3:13" ht="12.75" customHeight="1" x14ac:dyDescent="0.2">
      <c r="C61252"/>
      <c r="M61252"/>
    </row>
    <row r="61253" spans="3:13" ht="12.75" customHeight="1" x14ac:dyDescent="0.2">
      <c r="C61253"/>
      <c r="M61253"/>
    </row>
    <row r="61255" spans="3:13" ht="12.75" customHeight="1" x14ac:dyDescent="0.2">
      <c r="C61255"/>
      <c r="M61255"/>
    </row>
    <row r="61263" spans="3:13" ht="12.75" customHeight="1" x14ac:dyDescent="0.2">
      <c r="C61263"/>
      <c r="M61263"/>
    </row>
    <row r="61264" spans="3:13" ht="12.75" customHeight="1" x14ac:dyDescent="0.2">
      <c r="C61264"/>
      <c r="M61264"/>
    </row>
    <row r="61265" spans="3:13" ht="0" hidden="1" customHeight="1" x14ac:dyDescent="0.2"/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68" spans="3:13" ht="12.75" customHeight="1" x14ac:dyDescent="0.2">
      <c r="C61268"/>
      <c r="M61268"/>
    </row>
    <row r="61269" spans="3:13" ht="12.75" customHeight="1" x14ac:dyDescent="0.2">
      <c r="C61269"/>
      <c r="M61269"/>
    </row>
    <row r="61271" spans="3:13" ht="12.75" customHeight="1" x14ac:dyDescent="0.2">
      <c r="C61271"/>
      <c r="M61271"/>
    </row>
    <row r="61279" spans="3:13" ht="12.75" customHeight="1" x14ac:dyDescent="0.2">
      <c r="C61279"/>
      <c r="M61279"/>
    </row>
    <row r="61280" spans="3:13" ht="12.75" customHeight="1" x14ac:dyDescent="0.2">
      <c r="C61280"/>
      <c r="M61280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7" spans="3:13" ht="12.75" customHeight="1" x14ac:dyDescent="0.2">
      <c r="C61287"/>
      <c r="M61287"/>
    </row>
    <row r="61288" spans="3:13" ht="0" hidden="1" customHeight="1" x14ac:dyDescent="0.2"/>
    <row r="61294" spans="3:13" ht="0" hidden="1" customHeight="1" x14ac:dyDescent="0.2"/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0" hidden="1" customHeight="1" x14ac:dyDescent="0.2"/>
    <row r="61303" spans="3:13" ht="12.75" customHeight="1" x14ac:dyDescent="0.2">
      <c r="C61303"/>
      <c r="M61303"/>
    </row>
    <row r="61304" spans="3:13" ht="0" hidden="1" customHeight="1" x14ac:dyDescent="0.2"/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72" spans="3:13" ht="12.75" customHeight="1" x14ac:dyDescent="0.2">
      <c r="C61372"/>
      <c r="M6137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8" spans="3:13" ht="12.75" customHeight="1" x14ac:dyDescent="0.2">
      <c r="C61388"/>
      <c r="M6138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0" hidden="1" customHeight="1" x14ac:dyDescent="0.2"/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0" hidden="1" customHeight="1" x14ac:dyDescent="0.2"/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0" hidden="1" customHeight="1" x14ac:dyDescent="0.2"/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0" hidden="1" customHeight="1" x14ac:dyDescent="0.2"/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  <row r="65331" spans="3:13" ht="12.75" customHeight="1" x14ac:dyDescent="0.2">
      <c r="C65331"/>
      <c r="M65331"/>
    </row>
    <row r="65332" spans="3:13" ht="12.75" customHeight="1" x14ac:dyDescent="0.2">
      <c r="C65332"/>
      <c r="M65332"/>
    </row>
    <row r="65333" spans="3:13" ht="12.75" customHeight="1" x14ac:dyDescent="0.2">
      <c r="C65333"/>
      <c r="M65333"/>
    </row>
    <row r="65334" spans="3:13" ht="12.75" customHeight="1" x14ac:dyDescent="0.2">
      <c r="C65334"/>
      <c r="M65334"/>
    </row>
    <row r="65335" spans="3:13" ht="12.75" customHeight="1" x14ac:dyDescent="0.2">
      <c r="C65335"/>
      <c r="M65335"/>
    </row>
    <row r="65336" spans="3:13" ht="12.75" customHeight="1" x14ac:dyDescent="0.2">
      <c r="C65336"/>
      <c r="M65336"/>
    </row>
    <row r="65337" spans="3:13" ht="12.75" customHeight="1" x14ac:dyDescent="0.2">
      <c r="C65337"/>
      <c r="M65337"/>
    </row>
    <row r="65338" spans="3:13" ht="12.75" customHeight="1" x14ac:dyDescent="0.2">
      <c r="C65338"/>
      <c r="M65338"/>
    </row>
    <row r="65339" spans="3:13" ht="12.75" customHeight="1" x14ac:dyDescent="0.2">
      <c r="C65339"/>
      <c r="M65339"/>
    </row>
    <row r="65340" spans="3:13" ht="12.75" customHeight="1" x14ac:dyDescent="0.2">
      <c r="C65340"/>
      <c r="M65340"/>
    </row>
    <row r="65341" spans="3:13" ht="12.75" customHeight="1" x14ac:dyDescent="0.2">
      <c r="C65341"/>
      <c r="M65341"/>
    </row>
    <row r="65342" spans="3:13" ht="12.75" customHeight="1" x14ac:dyDescent="0.2">
      <c r="C65342"/>
      <c r="M65342"/>
    </row>
    <row r="65343" spans="3:13" ht="12.75" customHeight="1" x14ac:dyDescent="0.2">
      <c r="C65343"/>
      <c r="M65343"/>
    </row>
    <row r="65344" spans="3:13" ht="12.75" customHeight="1" x14ac:dyDescent="0.2">
      <c r="C65344"/>
      <c r="M65344"/>
    </row>
    <row r="65345" spans="3:13" ht="12.75" customHeight="1" x14ac:dyDescent="0.2">
      <c r="C65345"/>
      <c r="M65345"/>
    </row>
    <row r="65346" spans="3:13" ht="12.75" customHeight="1" x14ac:dyDescent="0.2">
      <c r="C65346"/>
      <c r="M65346"/>
    </row>
    <row r="65347" spans="3:13" ht="12.75" customHeight="1" x14ac:dyDescent="0.2">
      <c r="C65347"/>
      <c r="M65347"/>
    </row>
    <row r="65348" spans="3:13" ht="12.75" customHeight="1" x14ac:dyDescent="0.2">
      <c r="C65348"/>
      <c r="M65348"/>
    </row>
    <row r="65349" spans="3:13" ht="12.75" customHeight="1" x14ac:dyDescent="0.2">
      <c r="C65349"/>
      <c r="M65349"/>
    </row>
    <row r="65350" spans="3:13" ht="12.75" customHeight="1" x14ac:dyDescent="0.2">
      <c r="C65350"/>
      <c r="M65350"/>
    </row>
    <row r="65351" spans="3:13" ht="12.75" customHeight="1" x14ac:dyDescent="0.2">
      <c r="C65351"/>
      <c r="M65351"/>
    </row>
    <row r="65352" spans="3:13" ht="12.75" customHeight="1" x14ac:dyDescent="0.2">
      <c r="C65352"/>
      <c r="M65352"/>
    </row>
    <row r="65353" spans="3:13" ht="12.75" customHeight="1" x14ac:dyDescent="0.2">
      <c r="C65353"/>
      <c r="M65353"/>
    </row>
    <row r="65354" spans="3:13" ht="12.75" customHeight="1" x14ac:dyDescent="0.2">
      <c r="C65354"/>
      <c r="M65354"/>
    </row>
    <row r="65355" spans="3:13" ht="12.75" customHeight="1" x14ac:dyDescent="0.2">
      <c r="C65355"/>
      <c r="M65355"/>
    </row>
    <row r="65356" spans="3:13" ht="12.75" customHeight="1" x14ac:dyDescent="0.2">
      <c r="C65356"/>
      <c r="M65356"/>
    </row>
    <row r="65357" spans="3:13" ht="12.75" customHeight="1" x14ac:dyDescent="0.2">
      <c r="C65357"/>
      <c r="M65357"/>
    </row>
    <row r="65358" spans="3:13" ht="12.75" customHeight="1" x14ac:dyDescent="0.2">
      <c r="C65358"/>
      <c r="M65358"/>
    </row>
    <row r="65359" spans="3:13" ht="12.75" customHeight="1" x14ac:dyDescent="0.2">
      <c r="C65359"/>
      <c r="M65359"/>
    </row>
    <row r="65360" spans="3:13" ht="12.75" customHeight="1" x14ac:dyDescent="0.2">
      <c r="C65360"/>
      <c r="M65360"/>
    </row>
    <row r="65361" spans="3:13" ht="12.75" customHeight="1" x14ac:dyDescent="0.2">
      <c r="C65361"/>
      <c r="M65361"/>
    </row>
    <row r="65362" spans="3:13" ht="12.75" customHeight="1" x14ac:dyDescent="0.2">
      <c r="C65362"/>
      <c r="M65362"/>
    </row>
    <row r="65363" spans="3:13" ht="12.75" customHeight="1" x14ac:dyDescent="0.2">
      <c r="C65363"/>
      <c r="M65363"/>
    </row>
    <row r="65364" spans="3:13" ht="12.75" customHeight="1" x14ac:dyDescent="0.2">
      <c r="C65364"/>
      <c r="M65364"/>
    </row>
    <row r="65365" spans="3:13" ht="12.75" customHeight="1" x14ac:dyDescent="0.2">
      <c r="C65365"/>
      <c r="M65365"/>
    </row>
    <row r="65366" spans="3:13" ht="12.75" customHeight="1" x14ac:dyDescent="0.2">
      <c r="C65366"/>
      <c r="M65366"/>
    </row>
    <row r="65367" spans="3:13" ht="12.75" customHeight="1" x14ac:dyDescent="0.2">
      <c r="C65367"/>
      <c r="M65367"/>
    </row>
    <row r="65368" spans="3:13" ht="12.75" customHeight="1" x14ac:dyDescent="0.2">
      <c r="C65368"/>
      <c r="M65368"/>
    </row>
    <row r="65369" spans="3:13" ht="12.75" customHeight="1" x14ac:dyDescent="0.2">
      <c r="C65369"/>
      <c r="M65369"/>
    </row>
    <row r="65370" spans="3:13" ht="12.75" customHeight="1" x14ac:dyDescent="0.2">
      <c r="C65370"/>
      <c r="M65370"/>
    </row>
    <row r="65371" spans="3:13" ht="12.75" customHeight="1" x14ac:dyDescent="0.2">
      <c r="C65371"/>
      <c r="M65371"/>
    </row>
    <row r="65372" spans="3:13" ht="12.75" customHeight="1" x14ac:dyDescent="0.2">
      <c r="C65372"/>
      <c r="M65372"/>
    </row>
    <row r="65373" spans="3:13" ht="12.75" customHeight="1" x14ac:dyDescent="0.2">
      <c r="C65373"/>
      <c r="M65373"/>
    </row>
    <row r="65374" spans="3:13" ht="12.75" customHeight="1" x14ac:dyDescent="0.2">
      <c r="C65374"/>
      <c r="M65374"/>
    </row>
    <row r="65375" spans="3:13" ht="12.75" customHeight="1" x14ac:dyDescent="0.2">
      <c r="C65375"/>
      <c r="M65375"/>
    </row>
    <row r="65376" spans="3:13" ht="12.75" customHeight="1" x14ac:dyDescent="0.2">
      <c r="C65376"/>
      <c r="M65376"/>
    </row>
    <row r="65377" spans="3:13" ht="12.75" customHeight="1" x14ac:dyDescent="0.2">
      <c r="C65377"/>
      <c r="M65377"/>
    </row>
    <row r="65378" spans="3:13" ht="12.75" customHeight="1" x14ac:dyDescent="0.2">
      <c r="C65378"/>
      <c r="M65378"/>
    </row>
    <row r="65379" spans="3:13" ht="12.75" customHeight="1" x14ac:dyDescent="0.2">
      <c r="C65379"/>
      <c r="M65379"/>
    </row>
    <row r="65380" spans="3:13" ht="12.75" customHeight="1" x14ac:dyDescent="0.2">
      <c r="C65380"/>
      <c r="M65380"/>
    </row>
    <row r="65381" spans="3:13" ht="12.75" customHeight="1" x14ac:dyDescent="0.2">
      <c r="C65381"/>
      <c r="M65381"/>
    </row>
    <row r="65382" spans="3:13" ht="12.75" customHeight="1" x14ac:dyDescent="0.2">
      <c r="C65382"/>
      <c r="M65382"/>
    </row>
    <row r="65383" spans="3:13" ht="12.75" customHeight="1" x14ac:dyDescent="0.2">
      <c r="C65383"/>
      <c r="M65383"/>
    </row>
    <row r="65384" spans="3:13" ht="12.75" customHeight="1" x14ac:dyDescent="0.2">
      <c r="C65384"/>
      <c r="M65384"/>
    </row>
    <row r="65385" spans="3:13" ht="12.75" customHeight="1" x14ac:dyDescent="0.2">
      <c r="C65385"/>
      <c r="M65385"/>
    </row>
    <row r="65386" spans="3:13" ht="12.75" customHeight="1" x14ac:dyDescent="0.2">
      <c r="C65386"/>
      <c r="M65386"/>
    </row>
    <row r="65387" spans="3:13" ht="12.75" customHeight="1" x14ac:dyDescent="0.2">
      <c r="C65387"/>
      <c r="M65387"/>
    </row>
    <row r="65388" spans="3:13" ht="0" hidden="1" customHeight="1" x14ac:dyDescent="0.2"/>
    <row r="65389" spans="3:13" ht="0" hidden="1" customHeight="1" x14ac:dyDescent="0.2"/>
    <row r="65390" spans="3:13" ht="0" hidden="1" customHeight="1" x14ac:dyDescent="0.2"/>
    <row r="65391" spans="3:13" ht="0" hidden="1" customHeight="1" x14ac:dyDescent="0.2"/>
  </sheetData>
  <sheetProtection algorithmName="SHA-512" hashValue="hA6UTMcLSNf8AofGrUOZyu11/VwJhltVZvvbGHNv2CR1oHBj/QiiF3WqPemJpN00xE/knl4Ex+svSqfygYzVRA==" saltValue="fetNp7M996jIrbMinkhalQ==" spinCount="100000" sheet="1" objects="1" scenarios="1" autoFilter="0"/>
  <autoFilter ref="C15:C119"/>
  <mergeCells count="15"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8" type="noConversion"/>
  <conditionalFormatting sqref="D14:I14 D49:I49 D34:I34 D106:I108 D54:I57 D17:I19 D26:I32 D70:I75 D39:I40 D79:I89 D43:I47 D92:I92 D113:I116 D118:I118 D60:I67 D94:I94">
    <cfRule type="expression" dxfId="430" priority="5786" stopIfTrue="1">
      <formula>$B14=1</formula>
    </cfRule>
    <cfRule type="expression" dxfId="429" priority="5787" stopIfTrue="1">
      <formula>OR($B14=0,$B14=2,$B14=3,$B14=4)</formula>
    </cfRule>
  </conditionalFormatting>
  <conditionalFormatting sqref="M34:N34 M49:N49 M106:N108 M12:N15 M54:N57 M17:N19 M26:N32 M70:N75 M39:N40 M79:N89 M43:N47 M92:N92 M113:N116 M118:N119 M60:N67 M94:N94">
    <cfRule type="expression" dxfId="428" priority="5788" stopIfTrue="1">
      <formula>ACOMPANHAMENTO="BM"</formula>
    </cfRule>
    <cfRule type="expression" dxfId="427" priority="5789" stopIfTrue="1">
      <formula>OR($B12=0,$B12=2,$B12=3,$B12=4)</formula>
    </cfRule>
    <cfRule type="expression" dxfId="426" priority="5790" stopIfTrue="1">
      <formula>$B12=1</formula>
    </cfRule>
  </conditionalFormatting>
  <conditionalFormatting sqref="K12:K119">
    <cfRule type="expression" dxfId="425" priority="5791" stopIfTrue="1">
      <formula>OR(ACOMPANHAMENTO="BM",$A$12&lt;&gt;"Manual")</formula>
    </cfRule>
    <cfRule type="expression" dxfId="424" priority="5792" stopIfTrue="1">
      <formula>$B12=1</formula>
    </cfRule>
    <cfRule type="expression" dxfId="423" priority="5793" stopIfTrue="1">
      <formula>OR($B12=2,$B12=3,$B12=4,$B12=0)</formula>
    </cfRule>
  </conditionalFormatting>
  <conditionalFormatting sqref="O12:AA119">
    <cfRule type="expression" dxfId="422" priority="5794" stopIfTrue="1">
      <formula>ACOMPANHAMENTO="BM"</formula>
    </cfRule>
    <cfRule type="expression" dxfId="421" priority="5795" stopIfTrue="1">
      <formula>AND(O$12&lt;&gt;".",OR($B12=0,$B12=2,$B12=3,$B12=4,AND(O$12="",$B12&lt;&gt;"Empty"),OFFSET(O$12,0,-1)=""))</formula>
    </cfRule>
    <cfRule type="expression" dxfId="420" priority="5796" stopIfTrue="1">
      <formula>AND($B12=1,O$12&lt;&gt;".")</formula>
    </cfRule>
  </conditionalFormatting>
  <conditionalFormatting sqref="D38:I38">
    <cfRule type="expression" dxfId="419" priority="451" stopIfTrue="1">
      <formula>$B38=1</formula>
    </cfRule>
    <cfRule type="expression" dxfId="418" priority="452" stopIfTrue="1">
      <formula>OR($B38=0,$B38=2,$B38=3,$B38=4)</formula>
    </cfRule>
  </conditionalFormatting>
  <conditionalFormatting sqref="M38:N38">
    <cfRule type="expression" dxfId="417" priority="453" stopIfTrue="1">
      <formula>ACOMPANHAMENTO="BM"</formula>
    </cfRule>
    <cfRule type="expression" dxfId="416" priority="454" stopIfTrue="1">
      <formula>OR($B38=0,$B38=2,$B38=3,$B38=4)</formula>
    </cfRule>
    <cfRule type="expression" dxfId="415" priority="455" stopIfTrue="1">
      <formula>$B38=1</formula>
    </cfRule>
  </conditionalFormatting>
  <conditionalFormatting sqref="D20:I20">
    <cfRule type="expression" dxfId="414" priority="429" stopIfTrue="1">
      <formula>$B20=1</formula>
    </cfRule>
    <cfRule type="expression" dxfId="413" priority="430" stopIfTrue="1">
      <formula>OR($B20=0,$B20=2,$B20=3,$B20=4)</formula>
    </cfRule>
  </conditionalFormatting>
  <conditionalFormatting sqref="M20:N20">
    <cfRule type="expression" dxfId="412" priority="431" stopIfTrue="1">
      <formula>ACOMPANHAMENTO="BM"</formula>
    </cfRule>
    <cfRule type="expression" dxfId="411" priority="432" stopIfTrue="1">
      <formula>OR($B20=0,$B20=2,$B20=3,$B20=4)</formula>
    </cfRule>
    <cfRule type="expression" dxfId="410" priority="433" stopIfTrue="1">
      <formula>$B20=1</formula>
    </cfRule>
  </conditionalFormatting>
  <conditionalFormatting sqref="D21:I22 D24:I24">
    <cfRule type="expression" dxfId="409" priority="418" stopIfTrue="1">
      <formula>$B21=1</formula>
    </cfRule>
    <cfRule type="expression" dxfId="408" priority="419" stopIfTrue="1">
      <formula>OR($B21=0,$B21=2,$B21=3,$B21=4)</formula>
    </cfRule>
  </conditionalFormatting>
  <conditionalFormatting sqref="M21:N22 M24:N24">
    <cfRule type="expression" dxfId="407" priority="420" stopIfTrue="1">
      <formula>ACOMPANHAMENTO="BM"</formula>
    </cfRule>
    <cfRule type="expression" dxfId="406" priority="421" stopIfTrue="1">
      <formula>OR($B21=0,$B21=2,$B21=3,$B21=4)</formula>
    </cfRule>
    <cfRule type="expression" dxfId="405" priority="422" stopIfTrue="1">
      <formula>$B21=1</formula>
    </cfRule>
  </conditionalFormatting>
  <conditionalFormatting sqref="D25:I25">
    <cfRule type="expression" dxfId="404" priority="407" stopIfTrue="1">
      <formula>$B25=1</formula>
    </cfRule>
    <cfRule type="expression" dxfId="403" priority="408" stopIfTrue="1">
      <formula>OR($B25=0,$B25=2,$B25=3,$B25=4)</formula>
    </cfRule>
  </conditionalFormatting>
  <conditionalFormatting sqref="M25:N25">
    <cfRule type="expression" dxfId="402" priority="409" stopIfTrue="1">
      <formula>ACOMPANHAMENTO="BM"</formula>
    </cfRule>
    <cfRule type="expression" dxfId="401" priority="410" stopIfTrue="1">
      <formula>OR($B25=0,$B25=2,$B25=3,$B25=4)</formula>
    </cfRule>
    <cfRule type="expression" dxfId="400" priority="411" stopIfTrue="1">
      <formula>$B25=1</formula>
    </cfRule>
  </conditionalFormatting>
  <conditionalFormatting sqref="D48:I48">
    <cfRule type="expression" dxfId="399" priority="374" stopIfTrue="1">
      <formula>$B48=1</formula>
    </cfRule>
    <cfRule type="expression" dxfId="398" priority="375" stopIfTrue="1">
      <formula>OR($B48=0,$B48=2,$B48=3,$B48=4)</formula>
    </cfRule>
  </conditionalFormatting>
  <conditionalFormatting sqref="M48:N48">
    <cfRule type="expression" dxfId="397" priority="376" stopIfTrue="1">
      <formula>ACOMPANHAMENTO="BM"</formula>
    </cfRule>
    <cfRule type="expression" dxfId="396" priority="377" stopIfTrue="1">
      <formula>OR($B48=0,$B48=2,$B48=3,$B48=4)</formula>
    </cfRule>
    <cfRule type="expression" dxfId="395" priority="378" stopIfTrue="1">
      <formula>$B48=1</formula>
    </cfRule>
  </conditionalFormatting>
  <conditionalFormatting sqref="D33:I33">
    <cfRule type="expression" dxfId="394" priority="363" stopIfTrue="1">
      <formula>$B33=1</formula>
    </cfRule>
    <cfRule type="expression" dxfId="393" priority="364" stopIfTrue="1">
      <formula>OR($B33=0,$B33=2,$B33=3,$B33=4)</formula>
    </cfRule>
  </conditionalFormatting>
  <conditionalFormatting sqref="M33:N33">
    <cfRule type="expression" dxfId="392" priority="365" stopIfTrue="1">
      <formula>ACOMPANHAMENTO="BM"</formula>
    </cfRule>
    <cfRule type="expression" dxfId="391" priority="366" stopIfTrue="1">
      <formula>OR($B33=0,$B33=2,$B33=3,$B33=4)</formula>
    </cfRule>
    <cfRule type="expression" dxfId="390" priority="367" stopIfTrue="1">
      <formula>$B33=1</formula>
    </cfRule>
  </conditionalFormatting>
  <conditionalFormatting sqref="D50:I52">
    <cfRule type="expression" dxfId="389" priority="330" stopIfTrue="1">
      <formula>$B50=1</formula>
    </cfRule>
    <cfRule type="expression" dxfId="388" priority="331" stopIfTrue="1">
      <formula>OR($B50=0,$B50=2,$B50=3,$B50=4)</formula>
    </cfRule>
  </conditionalFormatting>
  <conditionalFormatting sqref="M50:N52">
    <cfRule type="expression" dxfId="387" priority="332" stopIfTrue="1">
      <formula>ACOMPANHAMENTO="BM"</formula>
    </cfRule>
    <cfRule type="expression" dxfId="386" priority="333" stopIfTrue="1">
      <formula>OR($B50=0,$B50=2,$B50=3,$B50=4)</formula>
    </cfRule>
    <cfRule type="expression" dxfId="385" priority="334" stopIfTrue="1">
      <formula>$B50=1</formula>
    </cfRule>
  </conditionalFormatting>
  <conditionalFormatting sqref="D36:I36">
    <cfRule type="expression" dxfId="384" priority="319" stopIfTrue="1">
      <formula>$B36=1</formula>
    </cfRule>
    <cfRule type="expression" dxfId="383" priority="320" stopIfTrue="1">
      <formula>OR($B36=0,$B36=2,$B36=3,$B36=4)</formula>
    </cfRule>
  </conditionalFormatting>
  <conditionalFormatting sqref="M36:N36">
    <cfRule type="expression" dxfId="382" priority="321" stopIfTrue="1">
      <formula>ACOMPANHAMENTO="BM"</formula>
    </cfRule>
    <cfRule type="expression" dxfId="381" priority="322" stopIfTrue="1">
      <formula>OR($B36=0,$B36=2,$B36=3,$B36=4)</formula>
    </cfRule>
    <cfRule type="expression" dxfId="380" priority="323" stopIfTrue="1">
      <formula>$B36=1</formula>
    </cfRule>
  </conditionalFormatting>
  <conditionalFormatting sqref="D35:I35">
    <cfRule type="expression" dxfId="379" priority="308" stopIfTrue="1">
      <formula>$B35=1</formula>
    </cfRule>
    <cfRule type="expression" dxfId="378" priority="309" stopIfTrue="1">
      <formula>OR($B35=0,$B35=2,$B35=3,$B35=4)</formula>
    </cfRule>
  </conditionalFormatting>
  <conditionalFormatting sqref="M35:N35">
    <cfRule type="expression" dxfId="377" priority="310" stopIfTrue="1">
      <formula>ACOMPANHAMENTO="BM"</formula>
    </cfRule>
    <cfRule type="expression" dxfId="376" priority="311" stopIfTrue="1">
      <formula>OR($B35=0,$B35=2,$B35=3,$B35=4)</formula>
    </cfRule>
    <cfRule type="expression" dxfId="375" priority="312" stopIfTrue="1">
      <formula>$B35=1</formula>
    </cfRule>
  </conditionalFormatting>
  <conditionalFormatting sqref="D76:I77">
    <cfRule type="expression" dxfId="374" priority="264" stopIfTrue="1">
      <formula>$B76=1</formula>
    </cfRule>
    <cfRule type="expression" dxfId="373" priority="265" stopIfTrue="1">
      <formula>OR($B76=0,$B76=2,$B76=3,$B76=4)</formula>
    </cfRule>
  </conditionalFormatting>
  <conditionalFormatting sqref="M76:N77">
    <cfRule type="expression" dxfId="372" priority="266" stopIfTrue="1">
      <formula>ACOMPANHAMENTO="BM"</formula>
    </cfRule>
    <cfRule type="expression" dxfId="371" priority="267" stopIfTrue="1">
      <formula>OR($B76=0,$B76=2,$B76=3,$B76=4)</formula>
    </cfRule>
    <cfRule type="expression" dxfId="370" priority="268" stopIfTrue="1">
      <formula>$B76=1</formula>
    </cfRule>
  </conditionalFormatting>
  <conditionalFormatting sqref="D93:I93 D101:I103 D95:I99">
    <cfRule type="expression" dxfId="369" priority="242" stopIfTrue="1">
      <formula>$B93=1</formula>
    </cfRule>
    <cfRule type="expression" dxfId="368" priority="243" stopIfTrue="1">
      <formula>OR($B93=0,$B93=2,$B93=3,$B93=4)</formula>
    </cfRule>
  </conditionalFormatting>
  <conditionalFormatting sqref="M93:N93 M101:N103 M95:N99">
    <cfRule type="expression" dxfId="367" priority="244" stopIfTrue="1">
      <formula>ACOMPANHAMENTO="BM"</formula>
    </cfRule>
    <cfRule type="expression" dxfId="366" priority="245" stopIfTrue="1">
      <formula>OR($B93=0,$B93=2,$B93=3,$B93=4)</formula>
    </cfRule>
    <cfRule type="expression" dxfId="365" priority="246" stopIfTrue="1">
      <formula>$B93=1</formula>
    </cfRule>
  </conditionalFormatting>
  <conditionalFormatting sqref="D104:I105">
    <cfRule type="expression" dxfId="364" priority="231" stopIfTrue="1">
      <formula>$B104=1</formula>
    </cfRule>
    <cfRule type="expression" dxfId="363" priority="232" stopIfTrue="1">
      <formula>OR($B104=0,$B104=2,$B104=3,$B104=4)</formula>
    </cfRule>
  </conditionalFormatting>
  <conditionalFormatting sqref="M104:N105">
    <cfRule type="expression" dxfId="362" priority="233" stopIfTrue="1">
      <formula>ACOMPANHAMENTO="BM"</formula>
    </cfRule>
    <cfRule type="expression" dxfId="361" priority="234" stopIfTrue="1">
      <formula>OR($B104=0,$B104=2,$B104=3,$B104=4)</formula>
    </cfRule>
    <cfRule type="expression" dxfId="360" priority="235" stopIfTrue="1">
      <formula>$B104=1</formula>
    </cfRule>
  </conditionalFormatting>
  <conditionalFormatting sqref="D16:I16">
    <cfRule type="expression" dxfId="359" priority="198" stopIfTrue="1">
      <formula>$B16=1</formula>
    </cfRule>
    <cfRule type="expression" dxfId="358" priority="199" stopIfTrue="1">
      <formula>OR($B16=0,$B16=2,$B16=3,$B16=4)</formula>
    </cfRule>
  </conditionalFormatting>
  <conditionalFormatting sqref="M16:N16">
    <cfRule type="expression" dxfId="357" priority="200" stopIfTrue="1">
      <formula>ACOMPANHAMENTO="BM"</formula>
    </cfRule>
    <cfRule type="expression" dxfId="356" priority="201" stopIfTrue="1">
      <formula>OR($B16=0,$B16=2,$B16=3,$B16=4)</formula>
    </cfRule>
    <cfRule type="expression" dxfId="355" priority="202" stopIfTrue="1">
      <formula>$B16=1</formula>
    </cfRule>
  </conditionalFormatting>
  <conditionalFormatting sqref="D37:I37">
    <cfRule type="expression" dxfId="354" priority="193" stopIfTrue="1">
      <formula>$B37=1</formula>
    </cfRule>
    <cfRule type="expression" dxfId="353" priority="194" stopIfTrue="1">
      <formula>OR($B37=0,$B37=2,$B37=3,$B37=4)</formula>
    </cfRule>
  </conditionalFormatting>
  <conditionalFormatting sqref="M37:N37">
    <cfRule type="expression" dxfId="352" priority="195" stopIfTrue="1">
      <formula>ACOMPANHAMENTO="BM"</formula>
    </cfRule>
    <cfRule type="expression" dxfId="351" priority="196" stopIfTrue="1">
      <formula>OR($B37=0,$B37=2,$B37=3,$B37=4)</formula>
    </cfRule>
    <cfRule type="expression" dxfId="350" priority="197" stopIfTrue="1">
      <formula>$B37=1</formula>
    </cfRule>
  </conditionalFormatting>
  <conditionalFormatting sqref="D53:I53">
    <cfRule type="expression" dxfId="349" priority="188" stopIfTrue="1">
      <formula>$B53=1</formula>
    </cfRule>
    <cfRule type="expression" dxfId="348" priority="189" stopIfTrue="1">
      <formula>OR($B53=0,$B53=2,$B53=3,$B53=4)</formula>
    </cfRule>
  </conditionalFormatting>
  <conditionalFormatting sqref="M53:N53">
    <cfRule type="expression" dxfId="347" priority="190" stopIfTrue="1">
      <formula>ACOMPANHAMENTO="BM"</formula>
    </cfRule>
    <cfRule type="expression" dxfId="346" priority="191" stopIfTrue="1">
      <formula>OR($B53=0,$B53=2,$B53=3,$B53=4)</formula>
    </cfRule>
    <cfRule type="expression" dxfId="345" priority="192" stopIfTrue="1">
      <formula>$B53=1</formula>
    </cfRule>
  </conditionalFormatting>
  <conditionalFormatting sqref="D58:I58">
    <cfRule type="expression" dxfId="344" priority="177" stopIfTrue="1">
      <formula>$B58=1</formula>
    </cfRule>
    <cfRule type="expression" dxfId="343" priority="178" stopIfTrue="1">
      <formula>OR($B58=0,$B58=2,$B58=3,$B58=4)</formula>
    </cfRule>
  </conditionalFormatting>
  <conditionalFormatting sqref="M58:N58">
    <cfRule type="expression" dxfId="342" priority="179" stopIfTrue="1">
      <formula>ACOMPANHAMENTO="BM"</formula>
    </cfRule>
    <cfRule type="expression" dxfId="341" priority="180" stopIfTrue="1">
      <formula>OR($B58=0,$B58=2,$B58=3,$B58=4)</formula>
    </cfRule>
    <cfRule type="expression" dxfId="340" priority="181" stopIfTrue="1">
      <formula>$B58=1</formula>
    </cfRule>
  </conditionalFormatting>
  <conditionalFormatting sqref="D68:I69">
    <cfRule type="expression" dxfId="339" priority="166" stopIfTrue="1">
      <formula>$B68=1</formula>
    </cfRule>
    <cfRule type="expression" dxfId="338" priority="167" stopIfTrue="1">
      <formula>OR($B68=0,$B68=2,$B68=3,$B68=4)</formula>
    </cfRule>
  </conditionalFormatting>
  <conditionalFormatting sqref="M68:N69">
    <cfRule type="expression" dxfId="337" priority="168" stopIfTrue="1">
      <formula>ACOMPANHAMENTO="BM"</formula>
    </cfRule>
    <cfRule type="expression" dxfId="336" priority="169" stopIfTrue="1">
      <formula>OR($B68=0,$B68=2,$B68=3,$B68=4)</formula>
    </cfRule>
    <cfRule type="expression" dxfId="335" priority="170" stopIfTrue="1">
      <formula>$B68=1</formula>
    </cfRule>
  </conditionalFormatting>
  <conditionalFormatting sqref="D41:I41">
    <cfRule type="expression" dxfId="334" priority="144" stopIfTrue="1">
      <formula>$B41=1</formula>
    </cfRule>
    <cfRule type="expression" dxfId="333" priority="145" stopIfTrue="1">
      <formula>OR($B41=0,$B41=2,$B41=3,$B41=4)</formula>
    </cfRule>
  </conditionalFormatting>
  <conditionalFormatting sqref="M41:N41">
    <cfRule type="expression" dxfId="332" priority="146" stopIfTrue="1">
      <formula>ACOMPANHAMENTO="BM"</formula>
    </cfRule>
    <cfRule type="expression" dxfId="331" priority="147" stopIfTrue="1">
      <formula>OR($B41=0,$B41=2,$B41=3,$B41=4)</formula>
    </cfRule>
    <cfRule type="expression" dxfId="330" priority="148" stopIfTrue="1">
      <formula>$B41=1</formula>
    </cfRule>
  </conditionalFormatting>
  <conditionalFormatting sqref="D90:I90">
    <cfRule type="expression" dxfId="329" priority="133" stopIfTrue="1">
      <formula>$B90=1</formula>
    </cfRule>
    <cfRule type="expression" dxfId="328" priority="134" stopIfTrue="1">
      <formula>OR($B90=0,$B90=2,$B90=3,$B90=4)</formula>
    </cfRule>
  </conditionalFormatting>
  <conditionalFormatting sqref="M90:N90">
    <cfRule type="expression" dxfId="327" priority="135" stopIfTrue="1">
      <formula>ACOMPANHAMENTO="BM"</formula>
    </cfRule>
    <cfRule type="expression" dxfId="326" priority="136" stopIfTrue="1">
      <formula>OR($B90=0,$B90=2,$B90=3,$B90=4)</formula>
    </cfRule>
    <cfRule type="expression" dxfId="325" priority="137" stopIfTrue="1">
      <formula>$B90=1</formula>
    </cfRule>
  </conditionalFormatting>
  <conditionalFormatting sqref="D100:I100">
    <cfRule type="expression" dxfId="324" priority="122" stopIfTrue="1">
      <formula>$B100=1</formula>
    </cfRule>
    <cfRule type="expression" dxfId="323" priority="123" stopIfTrue="1">
      <formula>OR($B100=0,$B100=2,$B100=3,$B100=4)</formula>
    </cfRule>
  </conditionalFormatting>
  <conditionalFormatting sqref="M100:N100">
    <cfRule type="expression" dxfId="322" priority="124" stopIfTrue="1">
      <formula>ACOMPANHAMENTO="BM"</formula>
    </cfRule>
    <cfRule type="expression" dxfId="321" priority="125" stopIfTrue="1">
      <formula>OR($B100=0,$B100=2,$B100=3,$B100=4)</formula>
    </cfRule>
    <cfRule type="expression" dxfId="320" priority="126" stopIfTrue="1">
      <formula>$B100=1</formula>
    </cfRule>
  </conditionalFormatting>
  <conditionalFormatting sqref="D110:I112">
    <cfRule type="expression" dxfId="319" priority="111" stopIfTrue="1">
      <formula>$B110=1</formula>
    </cfRule>
    <cfRule type="expression" dxfId="318" priority="112" stopIfTrue="1">
      <formula>OR($B110=0,$B110=2,$B110=3,$B110=4)</formula>
    </cfRule>
  </conditionalFormatting>
  <conditionalFormatting sqref="M110:N112">
    <cfRule type="expression" dxfId="317" priority="113" stopIfTrue="1">
      <formula>ACOMPANHAMENTO="BM"</formula>
    </cfRule>
    <cfRule type="expression" dxfId="316" priority="114" stopIfTrue="1">
      <formula>OR($B110=0,$B110=2,$B110=3,$B110=4)</formula>
    </cfRule>
    <cfRule type="expression" dxfId="315" priority="115" stopIfTrue="1">
      <formula>$B110=1</formula>
    </cfRule>
  </conditionalFormatting>
  <conditionalFormatting sqref="D117:I117">
    <cfRule type="expression" dxfId="314" priority="100" stopIfTrue="1">
      <formula>$B117=1</formula>
    </cfRule>
    <cfRule type="expression" dxfId="313" priority="101" stopIfTrue="1">
      <formula>OR($B117=0,$B117=2,$B117=3,$B117=4)</formula>
    </cfRule>
  </conditionalFormatting>
  <conditionalFormatting sqref="M117:N117">
    <cfRule type="expression" dxfId="312" priority="102" stopIfTrue="1">
      <formula>ACOMPANHAMENTO="BM"</formula>
    </cfRule>
    <cfRule type="expression" dxfId="311" priority="103" stopIfTrue="1">
      <formula>OR($B117=0,$B117=2,$B117=3,$B117=4)</formula>
    </cfRule>
    <cfRule type="expression" dxfId="310" priority="104" stopIfTrue="1">
      <formula>$B117=1</formula>
    </cfRule>
  </conditionalFormatting>
  <conditionalFormatting sqref="D59:I59">
    <cfRule type="expression" dxfId="309" priority="89" stopIfTrue="1">
      <formula>$B59=1</formula>
    </cfRule>
    <cfRule type="expression" dxfId="308" priority="90" stopIfTrue="1">
      <formula>OR($B59=0,$B59=2,$B59=3,$B59=4)</formula>
    </cfRule>
  </conditionalFormatting>
  <conditionalFormatting sqref="M59:N59">
    <cfRule type="expression" dxfId="307" priority="91" stopIfTrue="1">
      <formula>ACOMPANHAMENTO="BM"</formula>
    </cfRule>
    <cfRule type="expression" dxfId="306" priority="92" stopIfTrue="1">
      <formula>OR($B59=0,$B59=2,$B59=3,$B59=4)</formula>
    </cfRule>
    <cfRule type="expression" dxfId="305" priority="93" stopIfTrue="1">
      <formula>$B59=1</formula>
    </cfRule>
  </conditionalFormatting>
  <conditionalFormatting sqref="D91:I91">
    <cfRule type="expression" dxfId="304" priority="78" stopIfTrue="1">
      <formula>$B91=1</formula>
    </cfRule>
    <cfRule type="expression" dxfId="303" priority="79" stopIfTrue="1">
      <formula>OR($B91=0,$B91=2,$B91=3,$B91=4)</formula>
    </cfRule>
  </conditionalFormatting>
  <conditionalFormatting sqref="M91:N91">
    <cfRule type="expression" dxfId="302" priority="80" stopIfTrue="1">
      <formula>ACOMPANHAMENTO="BM"</formula>
    </cfRule>
    <cfRule type="expression" dxfId="301" priority="81" stopIfTrue="1">
      <formula>OR($B91=0,$B91=2,$B91=3,$B91=4)</formula>
    </cfRule>
    <cfRule type="expression" dxfId="300" priority="82" stopIfTrue="1">
      <formula>$B91=1</formula>
    </cfRule>
  </conditionalFormatting>
  <conditionalFormatting sqref="D23:I23">
    <cfRule type="expression" dxfId="299" priority="34" stopIfTrue="1">
      <formula>$B23=1</formula>
    </cfRule>
    <cfRule type="expression" dxfId="298" priority="35" stopIfTrue="1">
      <formula>OR($B23=0,$B23=2,$B23=3,$B23=4)</formula>
    </cfRule>
  </conditionalFormatting>
  <conditionalFormatting sqref="M23:N23">
    <cfRule type="expression" dxfId="297" priority="36" stopIfTrue="1">
      <formula>ACOMPANHAMENTO="BM"</formula>
    </cfRule>
    <cfRule type="expression" dxfId="296" priority="37" stopIfTrue="1">
      <formula>OR($B23=0,$B23=2,$B23=3,$B23=4)</formula>
    </cfRule>
    <cfRule type="expression" dxfId="295" priority="38" stopIfTrue="1">
      <formula>$B23=1</formula>
    </cfRule>
  </conditionalFormatting>
  <conditionalFormatting sqref="D42:I42">
    <cfRule type="expression" dxfId="294" priority="23" stopIfTrue="1">
      <formula>$B42=1</formula>
    </cfRule>
    <cfRule type="expression" dxfId="293" priority="24" stopIfTrue="1">
      <formula>OR($B42=0,$B42=2,$B42=3,$B42=4)</formula>
    </cfRule>
  </conditionalFormatting>
  <conditionalFormatting sqref="M42:N42">
    <cfRule type="expression" dxfId="292" priority="25" stopIfTrue="1">
      <formula>ACOMPANHAMENTO="BM"</formula>
    </cfRule>
    <cfRule type="expression" dxfId="291" priority="26" stopIfTrue="1">
      <formula>OR($B42=0,$B42=2,$B42=3,$B42=4)</formula>
    </cfRule>
    <cfRule type="expression" dxfId="290" priority="27" stopIfTrue="1">
      <formula>$B42=1</formula>
    </cfRule>
  </conditionalFormatting>
  <conditionalFormatting sqref="D78:I78">
    <cfRule type="expression" dxfId="289" priority="12" stopIfTrue="1">
      <formula>$B78=1</formula>
    </cfRule>
    <cfRule type="expression" dxfId="288" priority="13" stopIfTrue="1">
      <formula>OR($B78=0,$B78=2,$B78=3,$B78=4)</formula>
    </cfRule>
  </conditionalFormatting>
  <conditionalFormatting sqref="M78:N78">
    <cfRule type="expression" dxfId="287" priority="14" stopIfTrue="1">
      <formula>ACOMPANHAMENTO="BM"</formula>
    </cfRule>
    <cfRule type="expression" dxfId="286" priority="15" stopIfTrue="1">
      <formula>OR($B78=0,$B78=2,$B78=3,$B78=4)</formula>
    </cfRule>
    <cfRule type="expression" dxfId="285" priority="16" stopIfTrue="1">
      <formula>$B78=1</formula>
    </cfRule>
  </conditionalFormatting>
  <conditionalFormatting sqref="D109:I109">
    <cfRule type="expression" dxfId="284" priority="1" stopIfTrue="1">
      <formula>$B109=1</formula>
    </cfRule>
    <cfRule type="expression" dxfId="283" priority="2" stopIfTrue="1">
      <formula>OR($B109=0,$B109=2,$B109=3,$B109=4)</formula>
    </cfRule>
  </conditionalFormatting>
  <conditionalFormatting sqref="M109:N109">
    <cfRule type="expression" dxfId="282" priority="3" stopIfTrue="1">
      <formula>ACOMPANHAMENTO="BM"</formula>
    </cfRule>
    <cfRule type="expression" dxfId="281" priority="4" stopIfTrue="1">
      <formula>OR($B109=0,$B109=2,$B109=3,$B109=4)</formula>
    </cfRule>
    <cfRule type="expression" dxfId="280" priority="5" stopIfTrue="1">
      <formula>$B109=1</formula>
    </cfRule>
  </conditionalFormatting>
  <dataValidations count="4">
    <dataValidation type="decimal" operator="greaterThan" allowBlank="1" showErrorMessage="1" error="Apenas números decimais maiores que zero." sqref="O14 Q14:Z14 Q16:Z118 O16:O118">
      <formula1>0</formula1>
      <formula2>0</formula2>
    </dataValidation>
    <dataValidation type="list" allowBlank="1" showErrorMessage="1" sqref="K14 K16:K118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118"/>
    <dataValidation allowBlank="1" showInputMessage="1" showErrorMessage="1" prompt="A frente de obra é uma porção física da obra. Exemplos: Única; Rua A; Rua B; Trecho 01; Trecho 02; 1º Andar; 2º Andar; Copa; Banheiro" sqref="Q12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30" t="s">
        <v>408</v>
      </c>
      <c r="D6" s="630"/>
      <c r="E6" s="630"/>
      <c r="F6" s="630"/>
    </row>
    <row r="8" spans="2:6" ht="33.75" customHeight="1" x14ac:dyDescent="0.2"/>
    <row r="9" spans="2:6" ht="12" customHeight="1" x14ac:dyDescent="0.2">
      <c r="C9" s="631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631"/>
      <c r="E9" s="631"/>
      <c r="F9" s="631"/>
    </row>
    <row r="10" spans="2:6" ht="12" customHeight="1" x14ac:dyDescent="0.2">
      <c r="C10" s="631"/>
      <c r="D10" s="631"/>
      <c r="E10" s="631"/>
      <c r="F10" s="631"/>
    </row>
    <row r="11" spans="2:6" ht="12" customHeight="1" x14ac:dyDescent="0.2">
      <c r="C11" s="631"/>
      <c r="D11" s="631"/>
      <c r="E11" s="631"/>
      <c r="F11" s="631"/>
    </row>
    <row r="12" spans="2:6" ht="12" customHeight="1" x14ac:dyDescent="0.2"/>
    <row r="13" spans="2:6" ht="15" x14ac:dyDescent="0.25">
      <c r="C13" s="196" t="s">
        <v>266</v>
      </c>
      <c r="D13" s="632" t="s">
        <v>267</v>
      </c>
      <c r="E13" s="632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9"/>
      <c r="E14" s="629"/>
      <c r="F14" s="199">
        <f ca="1">IF(AUTOEVENTO="Manual",ROUND(SUMPRODUCT((CÁLCULO!$M$15:$M$119=EVENTOS!$C14)*(OFFSET(CÁLCULO!$AA$15,0,1):OFFSET(CÁLCULO!$AL$119,0,-1))),2),0)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3" t="s">
        <v>269</v>
      </c>
      <c r="E15" s="633"/>
      <c r="F15" s="201">
        <f ca="1">IF(AUTOEVENTO="Manual",ROUND(SUMIF(CÁLCULO!$M$15:$M$119,1,ORÇAMENTO!$X$15:$X$119),2),0)</f>
        <v>0</v>
      </c>
    </row>
    <row r="16" spans="2:6" x14ac:dyDescent="0.2">
      <c r="B16" t="str">
        <f t="shared" ref="B16:B64" ca="1" si="0">CONCATENATE(C16,".",D16)</f>
        <v>2.</v>
      </c>
      <c r="C16" s="198">
        <f t="shared" ref="C16:C64" ca="1" si="1">OFFSET(C16,-1,0)+1</f>
        <v>2</v>
      </c>
      <c r="D16" s="629"/>
      <c r="E16" s="629"/>
      <c r="F16" s="199">
        <f ca="1">IF(AUTOEVENTO="Manual",ROUND(SUMPRODUCT((CÁLCULO!$M$15:$M$119=EVENTOS!$C16)*(OFFSET(CÁLCULO!$AA$15,0,1):OFFSET(CÁLCULO!$AL$119,0,-1))),2),0)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9"/>
      <c r="E17" s="629"/>
      <c r="F17" s="199">
        <f ca="1">IF(AUTOEVENTO="Manual",ROUND(SUMPRODUCT((CÁLCULO!$M$15:$M$119=EVENTOS!$C17)*(OFFSET(CÁLCULO!$AA$15,0,1):OFFSET(CÁLCULO!$AL$119,0,-1))),2),0)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9"/>
      <c r="E18" s="629"/>
      <c r="F18" s="199">
        <f ca="1">IF(AUTOEVENTO="Manual",ROUND(SUMPRODUCT((CÁLCULO!$M$15:$M$119=EVENTOS!$C18)*(OFFSET(CÁLCULO!$AA$15,0,1):OFFSET(CÁLCULO!$AL$119,0,-1))),2),0)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9"/>
      <c r="E19" s="629"/>
      <c r="F19" s="199">
        <f ca="1">IF(AUTOEVENTO="Manual",ROUND(SUMPRODUCT((CÁLCULO!$M$15:$M$119=EVENTOS!$C19)*(OFFSET(CÁLCULO!$AA$15,0,1):OFFSET(CÁLCULO!$AL$119,0,-1))),2),0)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9"/>
      <c r="E20" s="629"/>
      <c r="F20" s="199">
        <f ca="1">IF(AUTOEVENTO="Manual",ROUND(SUMPRODUCT((CÁLCULO!$M$15:$M$119=EVENTOS!$C20)*(OFFSET(CÁLCULO!$AA$15,0,1):OFFSET(CÁLCULO!$AL$119,0,-1))),2),0)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9"/>
      <c r="E21" s="629"/>
      <c r="F21" s="199">
        <f ca="1">IF(AUTOEVENTO="Manual",ROUND(SUMPRODUCT((CÁLCULO!$M$15:$M$119=EVENTOS!$C21)*(OFFSET(CÁLCULO!$AA$15,0,1):OFFSET(CÁLCULO!$AL$119,0,-1))),2),0)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9"/>
      <c r="E22" s="629"/>
      <c r="F22" s="199">
        <f ca="1">IF(AUTOEVENTO="Manual",ROUND(SUMPRODUCT((CÁLCULO!$M$15:$M$119=EVENTOS!$C22)*(OFFSET(CÁLCULO!$AA$15,0,1):OFFSET(CÁLCULO!$AL$119,0,-1))),2),0)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9"/>
      <c r="E23" s="629"/>
      <c r="F23" s="199">
        <f ca="1">IF(AUTOEVENTO="Manual",ROUND(SUMPRODUCT((CÁLCULO!$M$15:$M$119=EVENTOS!$C23)*(OFFSET(CÁLCULO!$AA$15,0,1):OFFSET(CÁLCULO!$AL$119,0,-1))),2),0)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9"/>
      <c r="E24" s="629"/>
      <c r="F24" s="199">
        <f ca="1">IF(AUTOEVENTO="Manual",ROUND(SUMPRODUCT((CÁLCULO!$M$15:$M$119=EVENTOS!$C24)*(OFFSET(CÁLCULO!$AA$15,0,1):OFFSET(CÁLCULO!$AL$119,0,-1))),2),0)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9"/>
      <c r="E25" s="629"/>
      <c r="F25" s="199">
        <f ca="1">IF(AUTOEVENTO="Manual",ROUND(SUMPRODUCT((CÁLCULO!$M$15:$M$119=EVENTOS!$C25)*(OFFSET(CÁLCULO!$AA$15,0,1):OFFSET(CÁLCULO!$AL$119,0,-1))),2),0)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9"/>
      <c r="E26" s="629"/>
      <c r="F26" s="199">
        <f ca="1">IF(AUTOEVENTO="Manual",ROUND(SUMPRODUCT((CÁLCULO!$M$15:$M$119=EVENTOS!$C26)*(OFFSET(CÁLCULO!$AA$15,0,1):OFFSET(CÁLCULO!$AL$119,0,-1))),2),0)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9"/>
      <c r="E27" s="629"/>
      <c r="F27" s="199">
        <f ca="1">IF(AUTOEVENTO="Manual",ROUND(SUMPRODUCT((CÁLCULO!$M$15:$M$119=EVENTOS!$C27)*(OFFSET(CÁLCULO!$AA$15,0,1):OFFSET(CÁLCULO!$AL$119,0,-1))),2),0)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9"/>
      <c r="E28" s="629"/>
      <c r="F28" s="199">
        <f ca="1">IF(AUTOEVENTO="Manual",ROUND(SUMPRODUCT((CÁLCULO!$M$15:$M$119=EVENTOS!$C28)*(OFFSET(CÁLCULO!$AA$15,0,1):OFFSET(CÁLCULO!$AL$119,0,-1))),2),0)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9"/>
      <c r="E29" s="629"/>
      <c r="F29" s="199">
        <f ca="1">IF(AUTOEVENTO="Manual",ROUND(SUMPRODUCT((CÁLCULO!$M$15:$M$119=EVENTOS!$C29)*(OFFSET(CÁLCULO!$AA$15,0,1):OFFSET(CÁLCULO!$AL$119,0,-1))),2),0)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9"/>
      <c r="E30" s="629"/>
      <c r="F30" s="199">
        <f ca="1">IF(AUTOEVENTO="Manual",ROUND(SUMPRODUCT((CÁLCULO!$M$15:$M$119=EVENTOS!$C30)*(OFFSET(CÁLCULO!$AA$15,0,1):OFFSET(CÁLCULO!$AL$119,0,-1))),2),0)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9"/>
      <c r="E31" s="629"/>
      <c r="F31" s="199">
        <f ca="1">IF(AUTOEVENTO="Manual",ROUND(SUMPRODUCT((CÁLCULO!$M$15:$M$119=EVENTOS!$C31)*(OFFSET(CÁLCULO!$AA$15,0,1):OFFSET(CÁLCULO!$AL$119,0,-1))),2),0)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9"/>
      <c r="E32" s="629"/>
      <c r="F32" s="199">
        <f ca="1">IF(AUTOEVENTO="Manual",ROUND(SUMPRODUCT((CÁLCULO!$M$15:$M$119=EVENTOS!$C32)*(OFFSET(CÁLCULO!$AA$15,0,1):OFFSET(CÁLCULO!$AL$119,0,-1))),2),0)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9"/>
      <c r="E33" s="629"/>
      <c r="F33" s="199">
        <f ca="1">IF(AUTOEVENTO="Manual",ROUND(SUMPRODUCT((CÁLCULO!$M$15:$M$119=EVENTOS!$C33)*(OFFSET(CÁLCULO!$AA$15,0,1):OFFSET(CÁLCULO!$AL$119,0,-1))),2),0)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9"/>
      <c r="E34" s="629"/>
      <c r="F34" s="199">
        <f ca="1">IF(AUTOEVENTO="Manual",ROUND(SUMPRODUCT((CÁLCULO!$M$15:$M$119=EVENTOS!$C34)*(OFFSET(CÁLCULO!$AA$15,0,1):OFFSET(CÁLCULO!$AL$119,0,-1))),2),0)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9"/>
      <c r="E35" s="629"/>
      <c r="F35" s="199">
        <f ca="1">IF(AUTOEVENTO="Manual",ROUND(SUMPRODUCT((CÁLCULO!$M$15:$M$119=EVENTOS!$C35)*(OFFSET(CÁLCULO!$AA$15,0,1):OFFSET(CÁLCULO!$AL$119,0,-1))),2),0)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9"/>
      <c r="E36" s="629"/>
      <c r="F36" s="199">
        <f ca="1">IF(AUTOEVENTO="Manual",ROUND(SUMPRODUCT((CÁLCULO!$M$15:$M$119=EVENTOS!$C36)*(OFFSET(CÁLCULO!$AA$15,0,1):OFFSET(CÁLCULO!$AL$119,0,-1))),2),0)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9"/>
      <c r="E37" s="629"/>
      <c r="F37" s="199">
        <f ca="1">IF(AUTOEVENTO="Manual",ROUND(SUMPRODUCT((CÁLCULO!$M$15:$M$119=EVENTOS!$C37)*(OFFSET(CÁLCULO!$AA$15,0,1):OFFSET(CÁLCULO!$AL$119,0,-1))),2),0)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9"/>
      <c r="E38" s="629"/>
      <c r="F38" s="199">
        <f ca="1">IF(AUTOEVENTO="Manual",ROUND(SUMPRODUCT((CÁLCULO!$M$15:$M$119=EVENTOS!$C38)*(OFFSET(CÁLCULO!$AA$15,0,1):OFFSET(CÁLCULO!$AL$119,0,-1))),2),0)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9"/>
      <c r="E39" s="629"/>
      <c r="F39" s="199">
        <f ca="1">IF(AUTOEVENTO="Manual",ROUND(SUMPRODUCT((CÁLCULO!$M$15:$M$119=EVENTOS!$C39)*(OFFSET(CÁLCULO!$AA$15,0,1):OFFSET(CÁLCULO!$AL$119,0,-1))),2),0)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9"/>
      <c r="E40" s="629"/>
      <c r="F40" s="199">
        <f ca="1">IF(AUTOEVENTO="Manual",ROUND(SUMPRODUCT((CÁLCULO!$M$15:$M$119=EVENTOS!$C40)*(OFFSET(CÁLCULO!$AA$15,0,1):OFFSET(CÁLCULO!$AL$119,0,-1))),2),0)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9"/>
      <c r="E41" s="629"/>
      <c r="F41" s="199">
        <f ca="1">IF(AUTOEVENTO="Manual",ROUND(SUMPRODUCT((CÁLCULO!$M$15:$M$119=EVENTOS!$C41)*(OFFSET(CÁLCULO!$AA$15,0,1):OFFSET(CÁLCULO!$AL$119,0,-1))),2),0)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9"/>
      <c r="E42" s="629"/>
      <c r="F42" s="199">
        <f ca="1">IF(AUTOEVENTO="Manual",ROUND(SUMPRODUCT((CÁLCULO!$M$15:$M$119=EVENTOS!$C42)*(OFFSET(CÁLCULO!$AA$15,0,1):OFFSET(CÁLCULO!$AL$119,0,-1))),2),0)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9"/>
      <c r="E43" s="629"/>
      <c r="F43" s="199">
        <f ca="1">IF(AUTOEVENTO="Manual",ROUND(SUMPRODUCT((CÁLCULO!$M$15:$M$119=EVENTOS!$C43)*(OFFSET(CÁLCULO!$AA$15,0,1):OFFSET(CÁLCULO!$AL$119,0,-1))),2),0)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9"/>
      <c r="E44" s="629"/>
      <c r="F44" s="199">
        <f ca="1">IF(AUTOEVENTO="Manual",ROUND(SUMPRODUCT((CÁLCULO!$M$15:$M$119=EVENTOS!$C44)*(OFFSET(CÁLCULO!$AA$15,0,1):OFFSET(CÁLCULO!$AL$119,0,-1))),2),0)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9"/>
      <c r="E45" s="629"/>
      <c r="F45" s="199">
        <f ca="1">IF(AUTOEVENTO="Manual",ROUND(SUMPRODUCT((CÁLCULO!$M$15:$M$119=EVENTOS!$C45)*(OFFSET(CÁLCULO!$AA$15,0,1):OFFSET(CÁLCULO!$AL$119,0,-1))),2),0)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9"/>
      <c r="E46" s="629"/>
      <c r="F46" s="199">
        <f ca="1">IF(AUTOEVENTO="Manual",ROUND(SUMPRODUCT((CÁLCULO!$M$15:$M$119=EVENTOS!$C46)*(OFFSET(CÁLCULO!$AA$15,0,1):OFFSET(CÁLCULO!$AL$119,0,-1))),2),0)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9"/>
      <c r="E47" s="629"/>
      <c r="F47" s="199">
        <f ca="1">IF(AUTOEVENTO="Manual",ROUND(SUMPRODUCT((CÁLCULO!$M$15:$M$119=EVENTOS!$C47)*(OFFSET(CÁLCULO!$AA$15,0,1):OFFSET(CÁLCULO!$AL$119,0,-1))),2),0)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9"/>
      <c r="E48" s="629"/>
      <c r="F48" s="199">
        <f ca="1">IF(AUTOEVENTO="Manual",ROUND(SUMPRODUCT((CÁLCULO!$M$15:$M$119=EVENTOS!$C48)*(OFFSET(CÁLCULO!$AA$15,0,1):OFFSET(CÁLCULO!$AL$119,0,-1))),2),0)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9"/>
      <c r="E49" s="629"/>
      <c r="F49" s="199">
        <f ca="1">IF(AUTOEVENTO="Manual",ROUND(SUMPRODUCT((CÁLCULO!$M$15:$M$119=EVENTOS!$C49)*(OFFSET(CÁLCULO!$AA$15,0,1):OFFSET(CÁLCULO!$AL$119,0,-1))),2),0)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9"/>
      <c r="E50" s="629"/>
      <c r="F50" s="199">
        <f ca="1">IF(AUTOEVENTO="Manual",ROUND(SUMPRODUCT((CÁLCULO!$M$15:$M$119=EVENTOS!$C50)*(OFFSET(CÁLCULO!$AA$15,0,1):OFFSET(CÁLCULO!$AL$119,0,-1))),2),0)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9"/>
      <c r="E51" s="629"/>
      <c r="F51" s="199">
        <f ca="1">IF(AUTOEVENTO="Manual",ROUND(SUMPRODUCT((CÁLCULO!$M$15:$M$119=EVENTOS!$C51)*(OFFSET(CÁLCULO!$AA$15,0,1):OFFSET(CÁLCULO!$AL$119,0,-1))),2),0)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9"/>
      <c r="E52" s="629"/>
      <c r="F52" s="199">
        <f ca="1">IF(AUTOEVENTO="Manual",ROUND(SUMPRODUCT((CÁLCULO!$M$15:$M$119=EVENTOS!$C52)*(OFFSET(CÁLCULO!$AA$15,0,1):OFFSET(CÁLCULO!$AL$119,0,-1))),2),0)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9"/>
      <c r="E53" s="629"/>
      <c r="F53" s="199">
        <f ca="1">IF(AUTOEVENTO="Manual",ROUND(SUMPRODUCT((CÁLCULO!$M$15:$M$119=EVENTOS!$C53)*(OFFSET(CÁLCULO!$AA$15,0,1):OFFSET(CÁLCULO!$AL$119,0,-1))),2),0)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9"/>
      <c r="E54" s="629"/>
      <c r="F54" s="199">
        <f ca="1">IF(AUTOEVENTO="Manual",ROUND(SUMPRODUCT((CÁLCULO!$M$15:$M$119=EVENTOS!$C54)*(OFFSET(CÁLCULO!$AA$15,0,1):OFFSET(CÁLCULO!$AL$119,0,-1))),2),0)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9"/>
      <c r="E55" s="629"/>
      <c r="F55" s="199">
        <f ca="1">IF(AUTOEVENTO="Manual",ROUND(SUMPRODUCT((CÁLCULO!$M$15:$M$119=EVENTOS!$C55)*(OFFSET(CÁLCULO!$AA$15,0,1):OFFSET(CÁLCULO!$AL$119,0,-1))),2),0)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9"/>
      <c r="E56" s="629"/>
      <c r="F56" s="199">
        <f ca="1">IF(AUTOEVENTO="Manual",ROUND(SUMPRODUCT((CÁLCULO!$M$15:$M$119=EVENTOS!$C56)*(OFFSET(CÁLCULO!$AA$15,0,1):OFFSET(CÁLCULO!$AL$119,0,-1))),2),0)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9"/>
      <c r="E57" s="629"/>
      <c r="F57" s="199">
        <f ca="1">IF(AUTOEVENTO="Manual",ROUND(SUMPRODUCT((CÁLCULO!$M$15:$M$119=EVENTOS!$C57)*(OFFSET(CÁLCULO!$AA$15,0,1):OFFSET(CÁLCULO!$AL$119,0,-1))),2),0)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9"/>
      <c r="E58" s="629"/>
      <c r="F58" s="199">
        <f ca="1">IF(AUTOEVENTO="Manual",ROUND(SUMPRODUCT((CÁLCULO!$M$15:$M$119=EVENTOS!$C58)*(OFFSET(CÁLCULO!$AA$15,0,1):OFFSET(CÁLCULO!$AL$119,0,-1))),2),0)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9"/>
      <c r="E59" s="629"/>
      <c r="F59" s="199">
        <f ca="1">IF(AUTOEVENTO="Manual",ROUND(SUMPRODUCT((CÁLCULO!$M$15:$M$119=EVENTOS!$C59)*(OFFSET(CÁLCULO!$AA$15,0,1):OFFSET(CÁLCULO!$AL$119,0,-1))),2),0)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9"/>
      <c r="E60" s="629"/>
      <c r="F60" s="199">
        <f ca="1">IF(AUTOEVENTO="Manual",ROUND(SUMPRODUCT((CÁLCULO!$M$15:$M$119=EVENTOS!$C60)*(OFFSET(CÁLCULO!$AA$15,0,1):OFFSET(CÁLCULO!$AL$119,0,-1))),2),0)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9"/>
      <c r="E61" s="629"/>
      <c r="F61" s="199">
        <f ca="1">IF(AUTOEVENTO="Manual",ROUND(SUMPRODUCT((CÁLCULO!$M$15:$M$119=EVENTOS!$C61)*(OFFSET(CÁLCULO!$AA$15,0,1):OFFSET(CÁLCULO!$AL$119,0,-1))),2),0)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9"/>
      <c r="E62" s="629"/>
      <c r="F62" s="199">
        <f ca="1">IF(AUTOEVENTO="Manual",ROUND(SUMPRODUCT((CÁLCULO!$M$15:$M$119=EVENTOS!$C62)*(OFFSET(CÁLCULO!$AA$15,0,1):OFFSET(CÁLCULO!$AL$119,0,-1))),2),0)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9"/>
      <c r="E63" s="629"/>
      <c r="F63" s="199">
        <f ca="1">IF(AUTOEVENTO="Manual",ROUND(SUMPRODUCT((CÁLCULO!$M$15:$M$119=EVENTOS!$C63)*(OFFSET(CÁLCULO!$AA$15,0,1):OFFSET(CÁLCULO!$AL$119,0,-1))),2),0)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9"/>
      <c r="E64" s="629"/>
      <c r="F64" s="199">
        <f ca="1">IF(AUTOEVENTO="Manual",ROUND(SUMPRODUCT((CÁLCULO!$M$15:$M$119=EVENTOS!$C64)*(OFFSET(CÁLCULO!$AA$15,0,1):OFFSET(CÁLCULO!$AL$119,0,-1))),2),0)</f>
        <v>0</v>
      </c>
    </row>
    <row r="65" spans="3:6" ht="5.0999999999999996" customHeight="1" x14ac:dyDescent="0.2">
      <c r="C65" s="191"/>
      <c r="D65" s="202"/>
      <c r="E65" s="202"/>
      <c r="F65" s="203"/>
    </row>
  </sheetData>
  <mergeCells count="54"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26:E26"/>
    <mergeCell ref="D27:E27"/>
    <mergeCell ref="D30:E30"/>
    <mergeCell ref="D33:E33"/>
    <mergeCell ref="D21:E21"/>
    <mergeCell ref="D22:E22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</mergeCells>
  <phoneticPr fontId="38" type="noConversion"/>
  <conditionalFormatting sqref="C13:F15 C65:F65">
    <cfRule type="expression" dxfId="279" priority="112" stopIfTrue="1">
      <formula>OR(AUTOEVENTO&lt;&gt;"Manual",ACOMPANHAMENTO="BM")</formula>
    </cfRule>
  </conditionalFormatting>
  <conditionalFormatting sqref="C16:F24">
    <cfRule type="expression" dxfId="278" priority="6" stopIfTrue="1">
      <formula>OR(AUTOEVENTO&lt;&gt;"Manual",ACOMPANHAMENTO="BM")</formula>
    </cfRule>
  </conditionalFormatting>
  <conditionalFormatting sqref="C25:F33">
    <cfRule type="expression" dxfId="277" priority="5" stopIfTrue="1">
      <formula>OR(AUTOEVENTO&lt;&gt;"Manual",ACOMPANHAMENTO="BM")</formula>
    </cfRule>
  </conditionalFormatting>
  <conditionalFormatting sqref="C34:F42">
    <cfRule type="expression" dxfId="276" priority="4" stopIfTrue="1">
      <formula>OR(AUTOEVENTO&lt;&gt;"Manual",ACOMPANHAMENTO="BM")</formula>
    </cfRule>
  </conditionalFormatting>
  <conditionalFormatting sqref="C43:F51">
    <cfRule type="expression" dxfId="275" priority="3" stopIfTrue="1">
      <formula>OR(AUTOEVENTO&lt;&gt;"Manual",ACOMPANHAMENTO="BM")</formula>
    </cfRule>
  </conditionalFormatting>
  <conditionalFormatting sqref="C52:F60">
    <cfRule type="expression" dxfId="274" priority="2" stopIfTrue="1">
      <formula>OR(AUTOEVENTO&lt;&gt;"Manual",ACOMPANHAMENTO="BM")</formula>
    </cfRule>
  </conditionalFormatting>
  <conditionalFormatting sqref="C61:F64">
    <cfRule type="expression" dxfId="273" priority="1" stopIfTrue="1">
      <formula>OR(AUTOEVENTO&lt;&gt;"Manual",ACOMPANHAMENTO="BM")</formula>
    </cfRule>
  </conditionalFormatting>
  <dataValidations count="1">
    <dataValidation type="list" allowBlank="1" showErrorMessage="1" sqref="C6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 filterMode="1"/>
  <dimension ref="A1:AF84"/>
  <sheetViews>
    <sheetView showGridLines="0" tabSelected="1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X36" sqref="X36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IF($E2=-1,0,IF(M$13&lt;=$L1,IF(ISERROR(MATCH(M$13,OFFSET($L1,1,0,ROW($L$68)-ROW($L1)-1),0)),ROW($L$68)-ROW($L1)-1,MATCH(M$13,OFFSET($L1,1,0,ROW($L$68)-ROW($L1)-1),0)-1),0))</f>
        <v>#REF!</v>
      </c>
      <c r="N1" s="212" t="e">
        <f ca="1">IF($E2=-1,0,IF(N$13&lt;=$L1,IF(ISERROR(MATCH(N$13,OFFSET($L1,1,0,ROW($L$68)-ROW($L1)-1),0)),ROW($L$68)-ROW($L1)-1,MATCH(N$13,OFFSET($L1,1,0,ROW($L$68)-ROW($L1)-1),0)-1),0))</f>
        <v>#REF!</v>
      </c>
      <c r="O1" s="212" t="e">
        <f ca="1">IF($E2=-1,0,IF(O$13&lt;=$L1,IF(ISERROR(MATCH(O$13,OFFSET($L1,1,0,ROW($L$68)-ROW($L1)-1),0)),ROW($L$68)-ROW($L1)-1,MATCH(O$13,OFFSET($L1,1,0,ROW($L$68)-ROW($L1)-1),0)-1),0))</f>
        <v>#REF!</v>
      </c>
      <c r="P1" s="212" t="e">
        <f ca="1">IF($E2=-1,0,IF(P$13&lt;=$L1,IF(ISERROR(MATCH(P$13,OFFSET($L1,1,0,ROW($L$68)-ROW($L1)-1),0)),ROW($L$68)-ROW($L1)-1,MATCH(P$13,OFFSET($L1,1,0,ROW($L$68)-ROW($L1)-1),0)-1),0))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$119,"="&amp;CRONO!D$12,CÁLCULO!$AB$15:$AL$119)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$119,"&lt;="&amp;CRONO!T$12,CÁLCULO!$AB$15:$AL$119)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$119,"="&amp;CRONO!U$12,CÁLCULO!$AB$15:$AL$119)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$119,"="&amp;CRONO!V$12,CÁLCULO!$AB$15:$AL$119)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$119,"="&amp;CRONO!W$12,CÁLCULO!$AB$15:$AL$119)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$119,"="&amp;CRONO!X$12,CÁLCULO!$AB$15:$AL$119)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$119,"="&amp;CRONO!Y$12,CÁLCULO!$AB$15:$AL$119)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$119,"="&amp;CRONO!Z$12,CÁLCULO!$AB$15:$AL$119)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$119,"="&amp;CRONO!AA$12,CÁLCULO!$AB$15:$AL$119)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$119,"="&amp;CRONO!AB$12,CÁLCULO!$AB$15:$AL$119)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$119,"="&amp;CRONO!AC$12,CÁLCULO!$AB$15:$AL$119)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$119,"="&amp;CRONO!AD$12,CÁLCULO!$AB$15:$AL$119)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$119,"="&amp;CRONO!AE$12,CÁLCULO!$AB$15:$AL$119)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583" t="s">
        <v>140</v>
      </c>
      <c r="AE4" s="583"/>
    </row>
    <row r="5" spans="1:32" ht="15" x14ac:dyDescent="0.2">
      <c r="R5" s="84" t="str">
        <f>import.recurso</f>
        <v>(SELECIONAR)</v>
      </c>
      <c r="AD5" s="584" t="s">
        <v>143</v>
      </c>
      <c r="AE5" s="584"/>
    </row>
    <row r="6" spans="1:32" ht="12.75" customHeight="1" x14ac:dyDescent="0.2"/>
    <row r="7" spans="1:32" ht="12.75" customHeight="1" x14ac:dyDescent="0.2">
      <c r="E7" s="230"/>
      <c r="G7" s="635" t="s">
        <v>271</v>
      </c>
      <c r="H7" s="231" t="s">
        <v>146</v>
      </c>
      <c r="I7" s="232"/>
      <c r="J7" s="233" t="s">
        <v>447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611" t="s">
        <v>209</v>
      </c>
      <c r="G8" s="635"/>
      <c r="H8" s="634">
        <f>Import.CR</f>
        <v>0</v>
      </c>
      <c r="I8" s="634"/>
      <c r="J8" s="237">
        <f>Import.TransfereGOV</f>
        <v>0</v>
      </c>
      <c r="K8" s="644" t="str">
        <f>Import.Proponente</f>
        <v>PREFEITURA MUNICIPAL</v>
      </c>
      <c r="L8" s="644"/>
      <c r="M8" s="644"/>
      <c r="N8" s="644"/>
      <c r="O8" s="644"/>
      <c r="P8" s="644"/>
      <c r="Q8" s="644"/>
      <c r="R8" s="644"/>
      <c r="S8" s="644"/>
      <c r="T8" s="634" t="str">
        <f>Import.Apelido</f>
        <v>PAVIMENTAÇÃO ASFÁLTICA</v>
      </c>
      <c r="U8" s="634"/>
      <c r="V8" s="634"/>
      <c r="W8" s="634"/>
      <c r="X8" s="634"/>
      <c r="Y8" s="641" t="str">
        <f>IF(TIPOORCAMENTO="Licitado",Import.empresa,Import.DescLote)</f>
        <v>DIVERSOS TRECHOS DA ÁREA URBANA</v>
      </c>
      <c r="Z8" s="641"/>
      <c r="AA8" s="641"/>
      <c r="AB8" s="641"/>
      <c r="AC8" s="641"/>
      <c r="AD8" s="641"/>
      <c r="AE8" s="224" t="str">
        <f>IF(TIPOORCAMENTO="Licitado",Import.CTEF,"")</f>
        <v/>
      </c>
    </row>
    <row r="9" spans="1:32" x14ac:dyDescent="0.2">
      <c r="E9" s="116"/>
      <c r="F9" s="611"/>
      <c r="G9" s="635"/>
    </row>
    <row r="10" spans="1:32" x14ac:dyDescent="0.2">
      <c r="E10" s="230"/>
      <c r="F10" s="611"/>
      <c r="G10" s="238">
        <v>2</v>
      </c>
      <c r="J10" s="645" t="str">
        <f ca="1">IF(MAX($A$13:$A$68)&lt;CRONO.LinhasNecessarias,"ERRO: NÚMERO DE LINHAS DO CRONOGRAMA INSUFICIENTE. CLIQUE EM ATUALIZAR LINHAS.",IF(AND(ACOMPANHAMENTO="PLE",ROUND(OFFSET($AF$78,0,-1),2)=0),"CRONOGRAMA DEVE SER PREENCHIDO POR EVENTOS",IF(ROUND(OFFSET($AF$78,0,-1),2)&lt;&gt;$Q$69,"ERRO: CRONOGRAMA NÃO FECHA 100%","")))</f>
        <v/>
      </c>
      <c r="K10" s="645"/>
      <c r="L10" s="645"/>
      <c r="M10" s="645"/>
      <c r="N10" s="645"/>
      <c r="O10" s="645"/>
      <c r="P10" s="645"/>
      <c r="Q10" s="645"/>
      <c r="R10" s="645"/>
      <c r="S10" s="645"/>
    </row>
    <row r="11" spans="1:32" ht="12.75" customHeight="1" x14ac:dyDescent="0.2">
      <c r="F11" s="611"/>
      <c r="H11" s="239"/>
      <c r="I11" s="239"/>
      <c r="J11" s="645"/>
      <c r="K11" s="645"/>
      <c r="L11" s="645"/>
      <c r="M11" s="645"/>
      <c r="N11" s="645"/>
      <c r="O11" s="645"/>
      <c r="P11" s="645"/>
      <c r="Q11" s="645"/>
      <c r="R11" s="645"/>
      <c r="S11" s="645"/>
    </row>
    <row r="12" spans="1:32" ht="12.75" customHeight="1" x14ac:dyDescent="0.2">
      <c r="D12" s="240">
        <f ca="1">OFFSET(D12,0,-1)+1</f>
        <v>1</v>
      </c>
      <c r="F12" s="108" t="s">
        <v>217</v>
      </c>
      <c r="G12" s="637" t="s">
        <v>274</v>
      </c>
      <c r="H12" s="638" t="s">
        <v>231</v>
      </c>
      <c r="I12" s="639" t="s">
        <v>234</v>
      </c>
      <c r="J12" s="241"/>
      <c r="K12" s="241"/>
      <c r="L12" s="242"/>
      <c r="M12" s="242"/>
      <c r="N12" s="242"/>
      <c r="O12" s="242"/>
      <c r="P12" s="242"/>
      <c r="Q12" s="242"/>
      <c r="R12" s="642" t="s">
        <v>275</v>
      </c>
      <c r="S12" s="643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37"/>
      <c r="H13" s="638"/>
      <c r="I13" s="639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42"/>
      <c r="S13" s="643"/>
      <c r="T13" s="250">
        <v>45597</v>
      </c>
      <c r="U13" s="246">
        <f ca="1">OFFSET(U13,0,-1)+41-DAY(OFFSET(U13,0,-1)+40)</f>
        <v>45627</v>
      </c>
      <c r="V13" s="246">
        <f ca="1">OFFSET(V13,0,-1)+41-DAY(OFFSET(V13,0,-1)+40)</f>
        <v>45658</v>
      </c>
      <c r="W13" s="246">
        <f t="shared" ref="W13:AE13" ca="1" si="2">OFFSET(W13,0,-1)+41-DAY(OFFSET(W13,0,-1)+40)</f>
        <v>45689</v>
      </c>
      <c r="X13" s="246">
        <f t="shared" ca="1" si="2"/>
        <v>45717</v>
      </c>
      <c r="Y13" s="246">
        <f t="shared" ca="1" si="2"/>
        <v>45748</v>
      </c>
      <c r="Z13" s="246">
        <f t="shared" ca="1" si="2"/>
        <v>45778</v>
      </c>
      <c r="AA13" s="246">
        <f t="shared" ca="1" si="2"/>
        <v>45809</v>
      </c>
      <c r="AB13" s="246">
        <f t="shared" ca="1" si="2"/>
        <v>45839</v>
      </c>
      <c r="AC13" s="246">
        <f t="shared" ca="1" si="2"/>
        <v>45870</v>
      </c>
      <c r="AD13" s="246">
        <f t="shared" ca="1" si="2"/>
        <v>45901</v>
      </c>
      <c r="AE13" s="251">
        <f t="shared" ca="1" si="2"/>
        <v>45931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>
        <f ca="1">IF(AND($Q14=2,ACOMPANHAMENTO="BM"),D15,D16/$R14)</f>
        <v>0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>F</v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TRECHO 01 - Rua João XXIII e Loureiro da Silva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IF($E15=-1,0,IF(M$13&lt;=$L14,IF(ISERROR(MATCH(M$13,OFFSET($L14,1,0,ROW($L$68)-ROW($L14)-1),0)),ROW($L$68)-ROW($L14)-1,MATCH(M$13,OFFSET($L14,1,0,ROW($L$68)-ROW($L14)-1),0)-1),0))</f>
        <v>17</v>
      </c>
      <c r="N14" s="212">
        <f ca="1">IF($E15=-1,0,IF(N$13&lt;=$L14,IF(ISERROR(MATCH(N$13,OFFSET($L14,1,0,ROW($L$68)-ROW($L14)-1),0)),ROW($L$68)-ROW($L14)-1,MATCH(N$13,OFFSET($L14,1,0,ROW($L$68)-ROW($L14)-1),0)-1),0))</f>
        <v>0</v>
      </c>
      <c r="O14" s="212">
        <f ca="1">IF($E15=-1,0,IF(O$13&lt;=$L14,IF(ISERROR(MATCH(O$13,OFFSET($L14,1,0,ROW($L$68)-ROW($L14)-1),0)),ROW($L$68)-ROW($L14)-1,MATCH(O$13,OFFSET($L14,1,0,ROW($L$68)-ROW($L14)-1),0)-1),0))</f>
        <v>0</v>
      </c>
      <c r="P14" s="212">
        <f ca="1">IF($E15=-1,0,IF(P$13&lt;=$L14,IF(ISERROR(MATCH(P$13,OFFSET($L14,1,0,ROW($L$68)-ROW($L14)-1),0)),ROW($L$68)-ROW($L14)-1,MATCH(P$13,OFFSET($L14,1,0,ROW($L$68)-ROW($L14)-1),0)-1),0))</f>
        <v>0</v>
      </c>
      <c r="Q14" s="212">
        <f t="shared" ref="Q14" ca="1" si="5">MIN(OFFSET(L14,0,1,,L14))</f>
        <v>17</v>
      </c>
      <c r="R14" s="213">
        <f ca="1">IF($E15=0,OFFSET(ORÇAMENTO!X$15,$E14,0),IF($E15&lt;&gt;-1,OFFSET(QCI!$O$13,$E15,0),""))</f>
        <v>570193.64</v>
      </c>
      <c r="S14" s="214" t="s">
        <v>270</v>
      </c>
      <c r="T14" s="215">
        <f t="shared" ref="T14:AE14" ca="1" si="6">IF(AND($Q14=2,ACOMPANHAMENTO="BM"),T15,T16/$R14)</f>
        <v>0.14326758888436567</v>
      </c>
      <c r="U14" s="207">
        <f t="shared" ca="1" si="6"/>
        <v>0.29100156746750105</v>
      </c>
      <c r="V14" s="207">
        <f t="shared" ca="1" si="6"/>
        <v>0.54113791763794483</v>
      </c>
      <c r="W14" s="207">
        <f t="shared" ca="1" si="6"/>
        <v>2.4592926010188396E-2</v>
      </c>
      <c r="X14" s="207">
        <f t="shared" ca="1" si="6"/>
        <v>0</v>
      </c>
      <c r="Y14" s="207">
        <f t="shared" ca="1" si="6"/>
        <v>0</v>
      </c>
      <c r="Z14" s="207">
        <f t="shared" ca="1" si="6"/>
        <v>0</v>
      </c>
      <c r="AA14" s="207">
        <f t="shared" ca="1" si="6"/>
        <v>0</v>
      </c>
      <c r="AB14" s="207">
        <f t="shared" ca="1" si="6"/>
        <v>0</v>
      </c>
      <c r="AC14" s="207">
        <f t="shared" ca="1" si="6"/>
        <v>0</v>
      </c>
      <c r="AD14" s="207">
        <f t="shared" ca="1" si="6"/>
        <v>0</v>
      </c>
      <c r="AE14" s="216">
        <f t="shared" ca="1" si="6"/>
        <v>0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>F</v>
      </c>
      <c r="G15" s="217" t="str">
        <f ca="1">IF(OR(R14=0,R14=""),"vazia",IF(AND(OR(ACOMPANHAMENTO="PLE",$Q14&lt;&gt;2),$E15=0),"calculada","--&gt;"))</f>
        <v>calculada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$119,"="&amp;CRONO!D$12,CÁLCULO!$AB$15:$AL$119)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$119,"&lt;="&amp;CRONO!T$12,CÁLCULO!$AB$15:$AL$119)/(ORÇAMENTO!$X$15-CÁLCULO.TotalAdmLocal)*CRONO!$E16,0),T15*$R14),SUMIF(OFFSET($R16,1,0,$Q14-2),($L14+1)&amp;"$",OFFSET(T16,1,0,$Q14-2)))</f>
        <v>81690.267999999996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$119,"="&amp;CRONO!U$12,CÁLCULO!$AB$15:$AL$119)/(ORÇAMENTO!$X$15-CÁLCULO.TotalAdmLocal)*CRONO!$E16,0),U15*$R14),SUMIF(OFFSET($R16,1,0,$Q14-2),($L14+1)&amp;"$",OFFSET(U16,1,0,$Q14-2)))</f>
        <v>165927.24300000002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$119,"="&amp;CRONO!V$12,CÁLCULO!$AB$15:$AL$119)/(ORÇAMENTO!$X$15-CÁLCULO.TotalAdmLocal)*CRONO!$E16,0),V15*$R14),SUMIF(OFFSET($R16,1,0,$Q14-2),($L14+1)&amp;"$",OFFSET(V16,1,0,$Q14-2)))</f>
        <v>308553.39899999998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$119,"="&amp;CRONO!W$12,CÁLCULO!$AB$15:$AL$119)/(ORÇAMENTO!$X$15-CÁLCULO.TotalAdmLocal)*CRONO!$E16,0),W15*$R14),SUMIF(OFFSET($R16,1,0,$Q14-2),($L14+1)&amp;"$",OFFSET(W16,1,0,$Q14-2)))</f>
        <v>14022.73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$119,"="&amp;CRONO!X$12,CÁLCULO!$AB$15:$AL$119)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$119,"="&amp;CRONO!Y$12,CÁLCULO!$AB$15:$AL$119)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$119,"="&amp;CRONO!Z$12,CÁLCULO!$AB$15:$AL$119)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$119,"="&amp;CRONO!AA$12,CÁLCULO!$AB$15:$AL$119)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$119,"="&amp;CRONO!AB$12,CÁLCULO!$AB$15:$AL$119)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$119,"="&amp;CRONO!AC$12,CÁLCULO!$AB$15:$AL$119)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$119,"="&amp;CRONO!AD$12,CÁLCULO!$AB$15:$AL$119)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$119,"="&amp;CRONO!AE$12,CÁLCULO!$AB$15:$AL$119)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</v>
      </c>
      <c r="C17" s="204">
        <f ca="1">IF($Q17&lt;&gt;2,0,IF($R17=0,1,IF(E18&gt;0,OFFSET(QCI!$N$13,SUBSTITUTE(E18,".",""),0),OFFSET(ORÇAMENTO!$AB$15,CRONO!$E17,0))/$R17))</f>
        <v>0</v>
      </c>
      <c r="D17" s="207">
        <f ca="1">IF(AND($Q17=2,ACOMPANHAMENTO="BM"),D18,D19/$R17)</f>
        <v>0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>F</v>
      </c>
      <c r="G17" s="208">
        <f ca="1">IF(OR(R17=0,R17=""),"Linha",IF(AND(OR(ACOMPANHAMENTO="PLE",$Q17&lt;&gt;2),$E18=0),"Linha",1-SUM(T17:AF17)))</f>
        <v>0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 xml:space="preserve">SERVIÇOS INICIAIS 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IF($E18=-1,0,IF(M$13&lt;=$L17,IF(ISERROR(MATCH(M$13,OFFSET($L17,1,0,ROW($L$68)-ROW($L17)-1),0)),ROW($L$68)-ROW($L17)-1,MATCH(M$13,OFFSET($L17,1,0,ROW($L$68)-ROW($L17)-1),0)-1),0))</f>
        <v>14</v>
      </c>
      <c r="N17" s="212">
        <f ca="1">IF($E18=-1,0,IF(N$13&lt;=$L17,IF(ISERROR(MATCH(N$13,OFFSET($L17,1,0,ROW($L$68)-ROW($L17)-1),0)),ROW($L$68)-ROW($L17)-1,MATCH(N$13,OFFSET($L17,1,0,ROW($L$68)-ROW($L17)-1),0)-1),0))</f>
        <v>2</v>
      </c>
      <c r="O17" s="212">
        <f ca="1">IF($E18=-1,0,IF(O$13&lt;=$L17,IF(ISERROR(MATCH(O$13,OFFSET($L17,1,0,ROW($L$68)-ROW($L17)-1),0)),ROW($L$68)-ROW($L17)-1,MATCH(O$13,OFFSET($L17,1,0,ROW($L$68)-ROW($L17)-1),0)-1),0))</f>
        <v>0</v>
      </c>
      <c r="P17" s="212">
        <f ca="1">IF($E18=-1,0,IF(P$13&lt;=$L17,IF(ISERROR(MATCH(P$13,OFFSET($L17,1,0,ROW($L$68)-ROW($L17)-1),0)),ROW($L$68)-ROW($L17)-1,MATCH(P$13,OFFSET($L17,1,0,ROW($L$68)-ROW($L17)-1),0)-1),0))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8049.5</v>
      </c>
      <c r="S17" s="214" t="s">
        <v>270</v>
      </c>
      <c r="T17" s="215">
        <f t="shared" ref="T17:AE17" ca="1" si="13">IF(AND($Q17=2,ACOMPANHAMENTO="BM"),T18,T19/$R17)</f>
        <v>1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>F</v>
      </c>
      <c r="G18" s="217" t="str">
        <f ca="1">IF(OR(R17=0,R17=""),"vazia",IF(AND(OR(ACOMPANHAMENTO="PLE",$Q17&lt;&gt;2),$E18=0),"calculada","--&gt;"))</f>
        <v>--&gt;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>
        <v>1</v>
      </c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$119,"="&amp;CRONO!D$12,CÁLCULO!$AB$15:$AL$119)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$119,"&lt;="&amp;CRONO!T$12,CÁLCULO!$AB$15:$AL$119)/(ORÇAMENTO!$X$15-CÁLCULO.TotalAdmLocal)*CRONO!$E19,0),T18*$R17),SUMIF(OFFSET($R19,1,0,$Q17-2),($L17+1)&amp;"$",OFFSET(T19,1,0,$Q17-2)))</f>
        <v>8049.5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$119,"="&amp;CRONO!U$12,CÁLCULO!$AB$15:$AL$119)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$119,"="&amp;CRONO!V$12,CÁLCULO!$AB$15:$AL$119)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$119,"="&amp;CRONO!W$12,CÁLCULO!$AB$15:$AL$119)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$119,"="&amp;CRONO!X$12,CÁLCULO!$AB$15:$AL$119)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$119,"="&amp;CRONO!Y$12,CÁLCULO!$AB$15:$AL$119)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$119,"="&amp;CRONO!Z$12,CÁLCULO!$AB$15:$AL$119)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$119,"="&amp;CRONO!AA$12,CÁLCULO!$AB$15:$AL$119)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$119,"="&amp;CRONO!AB$12,CÁLCULO!$AB$15:$AL$119)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$119,"="&amp;CRONO!AC$12,CÁLCULO!$AB$15:$AL$119)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$119,"="&amp;CRONO!AD$12,CÁLCULO!$AB$15:$AL$119)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$119,"="&amp;CRONO!AE$12,CÁLCULO!$AB$15:$AL$119)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1</v>
      </c>
      <c r="C20" s="204">
        <f ca="1">IF($Q20&lt;&gt;2,0,IF($R20=0,1,IF(E21&gt;0,OFFSET(QCI!$N$13,SUBSTITUTE(E21,".",""),0),OFFSET(ORÇAMENTO!$AB$15,CRONO!$E20,0))/$R20))</f>
        <v>0</v>
      </c>
      <c r="D20" s="207">
        <f ca="1">IF(AND($Q20=2,ACOMPANHAMENTO="BM"),D21,D22/$R20)</f>
        <v>0</v>
      </c>
      <c r="E20" s="204">
        <f ca="1">IF(A20&lt;=ORÇAMENTO.MáximoListaCrono,MATCH(A20,ORÇAMENTO.ListaCrono,0),NA())</f>
        <v>6</v>
      </c>
      <c r="F20" s="204" t="str">
        <f t="shared" ref="F20" ca="1" si="18">IF(AND($E21&lt;&gt;-1,$R20&gt;0),"F","")</f>
        <v>F</v>
      </c>
      <c r="G20" s="208">
        <f ca="1">IF(OR(R20=0,R20=""),"Linha",IF(AND(OR(ACOMPANHAMENTO="PLE",$Q20&lt;&gt;2),$E21=0),"Linha",1-SUM(T20:AF20)))</f>
        <v>0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>ADMINISTRAÇÃO LOCAL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IF($E21=-1,0,IF(M$13&lt;=$L20,IF(ISERROR(MATCH(M$13,OFFSET($L20,1,0,ROW($L$68)-ROW($L20)-1),0)),ROW($L$68)-ROW($L20)-1,MATCH(M$13,OFFSET($L20,1,0,ROW($L$68)-ROW($L20)-1),0)-1),0))</f>
        <v>11</v>
      </c>
      <c r="N20" s="212">
        <f ca="1">IF($E21=-1,0,IF(N$13&lt;=$L20,IF(ISERROR(MATCH(N$13,OFFSET($L20,1,0,ROW($L$68)-ROW($L20)-1),0)),ROW($L$68)-ROW($L20)-1,MATCH(N$13,OFFSET($L20,1,0,ROW($L$68)-ROW($L20)-1),0)-1),0))</f>
        <v>2</v>
      </c>
      <c r="O20" s="212">
        <f ca="1">IF($E21=-1,0,IF(O$13&lt;=$L20,IF(ISERROR(MATCH(O$13,OFFSET($L20,1,0,ROW($L$68)-ROW($L20)-1),0)),ROW($L$68)-ROW($L20)-1,MATCH(O$13,OFFSET($L20,1,0,ROW($L$68)-ROW($L20)-1),0)-1),0))</f>
        <v>0</v>
      </c>
      <c r="P20" s="212">
        <f ca="1">IF($E21=-1,0,IF(P$13&lt;=$L20,IF(ISERROR(MATCH(P$13,OFFSET($L20,1,0,ROW($L$68)-ROW($L20)-1),0)),ROW($L$68)-ROW($L20)-1,MATCH(P$13,OFFSET($L20,1,0,ROW($L$68)-ROW($L20)-1),0)-1),0))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7454.1</v>
      </c>
      <c r="S20" s="214" t="s">
        <v>270</v>
      </c>
      <c r="T20" s="215">
        <f t="shared" ref="T20:AE20" ca="1" si="20">IF(AND($Q20=2,ACOMPANHAMENTO="BM"),T21,T22/$R20)</f>
        <v>0.5</v>
      </c>
      <c r="U20" s="207">
        <f t="shared" ca="1" si="20"/>
        <v>0.5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>F</v>
      </c>
      <c r="G21" s="217" t="str">
        <f ca="1">IF(OR(R20=0,R20=""),"vazia",IF(AND(OR(ACOMPANHAMENTO="PLE",$Q20&lt;&gt;2),$E21=0),"calculada","--&gt;"))</f>
        <v>--&gt;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>
        <v>0.5</v>
      </c>
      <c r="U21" s="569">
        <v>0.5</v>
      </c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$119,"="&amp;CRONO!D$12,CÁLCULO!$AB$15:$AL$119)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$119,"&lt;="&amp;CRONO!T$12,CÁLCULO!$AB$15:$AL$119)/(ORÇAMENTO!$X$15-CÁLCULO.TotalAdmLocal)*CRONO!$E22,0),T21*$R20),SUMIF(OFFSET($R22,1,0,$Q20-2),($L20+1)&amp;"$",OFFSET(T22,1,0,$Q20-2)))</f>
        <v>3727.05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$119,"="&amp;CRONO!U$12,CÁLCULO!$AB$15:$AL$119)/(ORÇAMENTO!$X$15-CÁLCULO.TotalAdmLocal)*CRONO!$E22,0),U21*$R20),SUMIF(OFFSET($R22,1,0,$Q20-2),($L20+1)&amp;"$",OFFSET(U22,1,0,$Q20-2)))</f>
        <v>3727.05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$119,"="&amp;CRONO!V$12,CÁLCULO!$AB$15:$AL$119)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$119,"="&amp;CRONO!W$12,CÁLCULO!$AB$15:$AL$119)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$119,"="&amp;CRONO!X$12,CÁLCULO!$AB$15:$AL$119)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$119,"="&amp;CRONO!Y$12,CÁLCULO!$AB$15:$AL$119)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$119,"="&amp;CRONO!Z$12,CÁLCULO!$AB$15:$AL$119)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$119,"="&amp;CRONO!AA$12,CÁLCULO!$AB$15:$AL$119)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$119,"="&amp;CRONO!AB$12,CÁLCULO!$AB$15:$AL$119)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$119,"="&amp;CRONO!AC$12,CÁLCULO!$AB$15:$AL$119)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$119,"="&amp;CRONO!AD$12,CÁLCULO!$AB$15:$AL$119)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$119,"="&amp;CRONO!AE$12,CÁLCULO!$AB$15:$AL$119)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0.99999999999999989</v>
      </c>
      <c r="C23" s="204">
        <f ca="1">IF($Q23&lt;&gt;2,0,IF($R23=0,1,IF(E24&gt;0,OFFSET(QCI!$N$13,SUBSTITUTE(E24,".",""),0),OFFSET(ORÇAMENTO!$AB$15,CRONO!$E23,0))/$R23))</f>
        <v>0</v>
      </c>
      <c r="D23" s="207">
        <f ca="1">IF(AND($Q23=2,ACOMPANHAMENTO="BM"),D24,D25/$R23)</f>
        <v>0</v>
      </c>
      <c r="E23" s="204">
        <f ca="1">IF(A23&lt;=ORÇAMENTO.MáximoListaCrono,MATCH(A23,ORÇAMENTO.ListaCrono,0),NA())</f>
        <v>10</v>
      </c>
      <c r="F23" s="204" t="str">
        <f t="shared" ref="F23" ca="1" si="25">IF(AND($E24&lt;&gt;-1,$R23&gt;0),"F","")</f>
        <v>F</v>
      </c>
      <c r="G23" s="208">
        <f ca="1">IF(OR(R23=0,R23=""),"Linha",IF(AND(OR(ACOMPANHAMENTO="PLE",$Q23&lt;&gt;2),$E24=0),"Linha",1-SUM(T23:AF23)))</f>
        <v>0</v>
      </c>
      <c r="H23" s="209" t="str">
        <f ca="1">IF($E24=0,OFFSET(ORÇAMENTO!O$15,$E23,0),IF($E24&lt;&gt;-1,OFFSET(QCI!$D$13,$E24,0),""))</f>
        <v>1.3.</v>
      </c>
      <c r="I23" s="210" t="str">
        <f ca="1">IF($E24=0,OFFSET(ORÇAMENTO!R$15,$E23,0),IF($E24&lt;&gt;-1,OFFSET(QCI!$G$13,$E24,0),""))</f>
        <v>DRENAGEM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IF($E24=-1,0,IF(M$13&lt;=$L23,IF(ISERROR(MATCH(M$13,OFFSET($L23,1,0,ROW($L$68)-ROW($L23)-1),0)),ROW($L$68)-ROW($L23)-1,MATCH(M$13,OFFSET($L23,1,0,ROW($L$68)-ROW($L23)-1),0)-1),0))</f>
        <v>8</v>
      </c>
      <c r="N23" s="212">
        <f ca="1">IF($E24=-1,0,IF(N$13&lt;=$L23,IF(ISERROR(MATCH(N$13,OFFSET($L23,1,0,ROW($L$68)-ROW($L23)-1),0)),ROW($L$68)-ROW($L23)-1,MATCH(N$13,OFFSET($L23,1,0,ROW($L$68)-ROW($L23)-1),0)-1),0))</f>
        <v>2</v>
      </c>
      <c r="O23" s="212">
        <f ca="1">IF($E24=-1,0,IF(O$13&lt;=$L23,IF(ISERROR(MATCH(O$13,OFFSET($L23,1,0,ROW($L$68)-ROW($L23)-1),0)),ROW($L$68)-ROW($L23)-1,MATCH(O$13,OFFSET($L23,1,0,ROW($L$68)-ROW($L23)-1),0)-1),0))</f>
        <v>0</v>
      </c>
      <c r="P23" s="212">
        <f ca="1">IF($E24=-1,0,IF(P$13&lt;=$L23,IF(ISERROR(MATCH(P$13,OFFSET($L23,1,0,ROW($L$68)-ROW($L23)-1),0)),ROW($L$68)-ROW($L23)-1,MATCH(P$13,OFFSET($L23,1,0,ROW($L$68)-ROW($L23)-1),0)-1),0))</f>
        <v>0</v>
      </c>
      <c r="Q23" s="212">
        <f t="shared" ref="Q23" ca="1" si="26">MIN(OFFSET(L23,0,1,,L23))</f>
        <v>2</v>
      </c>
      <c r="R23" s="213">
        <f ca="1">IF($E24=0,OFFSET(ORÇAMENTO!X$15,$E23,0),IF($E24&lt;&gt;-1,OFFSET(QCI!$O$13,$E24,0),""))</f>
        <v>99876.74</v>
      </c>
      <c r="S23" s="214" t="s">
        <v>270</v>
      </c>
      <c r="T23" s="215">
        <f t="shared" ref="T23:AE23" ca="1" si="27">IF(AND($Q23=2,ACOMPANHAMENTO="BM"),T24,T25/$R23)</f>
        <v>0.7</v>
      </c>
      <c r="U23" s="207">
        <f t="shared" ca="1" si="27"/>
        <v>0.3</v>
      </c>
      <c r="V23" s="207">
        <f t="shared" ca="1" si="27"/>
        <v>0</v>
      </c>
      <c r="W23" s="207">
        <f t="shared" ca="1" si="27"/>
        <v>0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>F</v>
      </c>
      <c r="G24" s="217" t="str">
        <f ca="1">IF(OR(R23=0,R23=""),"vazia",IF(AND(OR(ACOMPANHAMENTO="PLE",$Q23&lt;&gt;2),$E24=0),"calculada","--&gt;"))</f>
        <v>--&gt;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>
        <v>0.7</v>
      </c>
      <c r="U24" s="569">
        <v>0.3</v>
      </c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hidden="1" customHeight="1" x14ac:dyDescent="0.2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$119,"="&amp;CRONO!D$12,CÁLCULO!$AB$15:$AL$119)/(ORÇAMENTO!$X$15-CÁLCULO.TotalAdmLocal)*CRONO!$E25,0),D24*$R23),SUMIF(OFFSET($R25,1,0,$Q23-2),($L23+1)&amp;"$",OFFSET(D25,1,0,$Q23-2)))</f>
        <v>0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$119,"&lt;="&amp;CRONO!T$12,CÁLCULO!$AB$15:$AL$119)/(ORÇAMENTO!$X$15-CÁLCULO.TotalAdmLocal)*CRONO!$E25,0),T24*$R23),SUMIF(OFFSET($R25,1,0,$Q23-2),($L23+1)&amp;"$",OFFSET(T25,1,0,$Q23-2)))</f>
        <v>69913.717999999993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$119,"="&amp;CRONO!U$12,CÁLCULO!$AB$15:$AL$119)/(ORÇAMENTO!$X$15-CÁLCULO.TotalAdmLocal)*CRONO!$E25,0),U24*$R23),SUMIF(OFFSET($R25,1,0,$Q23-2),($L23+1)&amp;"$",OFFSET(U25,1,0,$Q23-2)))</f>
        <v>29963.022000000001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$119,"="&amp;CRONO!V$12,CÁLCULO!$AB$15:$AL$119)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$119,"="&amp;CRONO!W$12,CÁLCULO!$AB$15:$AL$119)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$119,"="&amp;CRONO!X$12,CÁLCULO!$AB$15:$AL$119)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$119,"="&amp;CRONO!Y$12,CÁLCULO!$AB$15:$AL$119)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$119,"="&amp;CRONO!Z$12,CÁLCULO!$AB$15:$AL$119)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$119,"="&amp;CRONO!AA$12,CÁLCULO!$AB$15:$AL$119)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$119,"="&amp;CRONO!AB$12,CÁLCULO!$AB$15:$AL$119)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$119,"="&amp;CRONO!AC$12,CÁLCULO!$AB$15:$AL$119)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$119,"="&amp;CRONO!AD$12,CÁLCULO!$AB$15:$AL$119)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$119,"="&amp;CRONO!AE$12,CÁLCULO!$AB$15:$AL$119)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0.99999999999999989</v>
      </c>
      <c r="C26" s="204">
        <f ca="1">IF($Q26&lt;&gt;2,0,IF($R26=0,1,IF(E27&gt;0,OFFSET(QCI!$N$13,SUBSTITUTE(E27,".",""),0),OFFSET(ORÇAMENTO!$AB$15,CRONO!$E26,0))/$R26))</f>
        <v>0</v>
      </c>
      <c r="D26" s="207">
        <f ca="1">IF(AND($Q26=2,ACOMPANHAMENTO="BM"),D27,D28/$R26)</f>
        <v>0</v>
      </c>
      <c r="E26" s="204">
        <f ca="1">IF(A26&lt;=ORÇAMENTO.MáximoListaCrono,MATCH(A26,ORÇAMENTO.ListaCrono,0),NA())</f>
        <v>19</v>
      </c>
      <c r="F26" s="204" t="str">
        <f t="shared" ref="F26" ca="1" si="32">IF(AND($E27&lt;&gt;-1,$R26&gt;0),"F","")</f>
        <v>F</v>
      </c>
      <c r="G26" s="208">
        <f ca="1">IF(OR(R26=0,R26=""),"Linha",IF(AND(OR(ACOMPANHAMENTO="PLE",$Q26&lt;&gt;2),$E27=0),"Linha",1-SUM(T26:AF26)))</f>
        <v>0</v>
      </c>
      <c r="H26" s="209" t="str">
        <f ca="1">IF($E27=0,OFFSET(ORÇAMENTO!O$15,$E26,0),IF($E27&lt;&gt;-1,OFFSET(QCI!$D$13,$E27,0),""))</f>
        <v>1.4.</v>
      </c>
      <c r="I26" s="210" t="str">
        <f ca="1">IF($E27=0,OFFSET(ORÇAMENTO!R$15,$E26,0),IF($E27&lt;&gt;-1,OFFSET(QCI!$G$13,$E27,0),""))</f>
        <v>PAVIMENTAÇÃO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IF($E27=-1,0,IF(M$13&lt;=$L26,IF(ISERROR(MATCH(M$13,OFFSET($L26,1,0,ROW($L$68)-ROW($L26)-1),0)),ROW($L$68)-ROW($L26)-1,MATCH(M$13,OFFSET($L26,1,0,ROW($L$68)-ROW($L26)-1),0)-1),0))</f>
        <v>5</v>
      </c>
      <c r="N26" s="212">
        <f ca="1">IF($E27=-1,0,IF(N$13&lt;=$L26,IF(ISERROR(MATCH(N$13,OFFSET($L26,1,0,ROW($L$68)-ROW($L26)-1),0)),ROW($L$68)-ROW($L26)-1,MATCH(N$13,OFFSET($L26,1,0,ROW($L$68)-ROW($L26)-1),0)-1),0))</f>
        <v>2</v>
      </c>
      <c r="O26" s="212">
        <f ca="1">IF($E27=-1,0,IF(O$13&lt;=$L26,IF(ISERROR(MATCH(O$13,OFFSET($L26,1,0,ROW($L$68)-ROW($L26)-1),0)),ROW($L$68)-ROW($L26)-1,MATCH(O$13,OFFSET($L26,1,0,ROW($L$68)-ROW($L26)-1),0)-1),0))</f>
        <v>0</v>
      </c>
      <c r="P26" s="212">
        <f ca="1">IF($E27=-1,0,IF(P$13&lt;=$L26,IF(ISERROR(MATCH(P$13,OFFSET($L26,1,0,ROW($L$68)-ROW($L26)-1),0)),ROW($L$68)-ROW($L26)-1,MATCH(P$13,OFFSET($L26,1,0,ROW($L$68)-ROW($L26)-1),0)-1),0))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440790.57</v>
      </c>
      <c r="S26" s="214" t="s">
        <v>270</v>
      </c>
      <c r="T26" s="215">
        <f t="shared" ref="T26:AE26" ca="1" si="34">IF(AND($Q26=2,ACOMPANHAMENTO="BM"),T27,T28/$R26)</f>
        <v>0</v>
      </c>
      <c r="U26" s="207">
        <f t="shared" ca="1" si="34"/>
        <v>0.3</v>
      </c>
      <c r="V26" s="207">
        <f t="shared" ca="1" si="34"/>
        <v>0.7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>F</v>
      </c>
      <c r="G27" s="217" t="str">
        <f ca="1">IF(OR(R26=0,R26=""),"vazia",IF(AND(OR(ACOMPANHAMENTO="PLE",$Q26&lt;&gt;2),$E27=0),"calculada","--&gt;"))</f>
        <v>--&gt;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/>
      <c r="U27" s="569">
        <v>0.3</v>
      </c>
      <c r="V27" s="569">
        <v>0.7</v>
      </c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hidden="1" customHeight="1" x14ac:dyDescent="0.2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$119,"="&amp;CRONO!D$12,CÁLCULO!$AB$15:$AL$119)/(ORÇAMENTO!$X$15-CÁLCULO.TotalAdmLocal)*CRONO!$E28,0),D27*$R26),SUMIF(OFFSET($R28,1,0,$Q26-2),($L26+1)&amp;"$",OFFSET(D28,1,0,$Q26-2)))</f>
        <v>0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$119,"&lt;="&amp;CRONO!T$12,CÁLCULO!$AB$15:$AL$119)/(ORÇAMENTO!$X$15-CÁLCULO.TotalAdmLocal)*CRONO!$E28,0),T27*$R26),SUMIF(OFFSET($R28,1,0,$Q26-2),($L26+1)&amp;"$",OFFSET(T28,1,0,$Q26-2)))</f>
        <v>0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$119,"="&amp;CRONO!U$12,CÁLCULO!$AB$15:$AL$119)/(ORÇAMENTO!$X$15-CÁLCULO.TotalAdmLocal)*CRONO!$E28,0),U27*$R26),SUMIF(OFFSET($R28,1,0,$Q26-2),($L26+1)&amp;"$",OFFSET(U28,1,0,$Q26-2)))</f>
        <v>132237.171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$119,"="&amp;CRONO!V$12,CÁLCULO!$AB$15:$AL$119)/(ORÇAMENTO!$X$15-CÁLCULO.TotalAdmLocal)*CRONO!$E28,0),V27*$R26),SUMIF(OFFSET($R28,1,0,$Q26-2),($L26+1)&amp;"$",OFFSET(V28,1,0,$Q26-2)))</f>
        <v>308553.39899999998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$119,"="&amp;CRONO!W$12,CÁLCULO!$AB$15:$AL$119)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$119,"="&amp;CRONO!X$12,CÁLCULO!$AB$15:$AL$119)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$119,"="&amp;CRONO!Y$12,CÁLCULO!$AB$15:$AL$119)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$119,"="&amp;CRONO!Z$12,CÁLCULO!$AB$15:$AL$119)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$119,"="&amp;CRONO!AA$12,CÁLCULO!$AB$15:$AL$119)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$119,"="&amp;CRONO!AB$12,CÁLCULO!$AB$15:$AL$119)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$119,"="&amp;CRONO!AC$12,CÁLCULO!$AB$15:$AL$119)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$119,"="&amp;CRONO!AD$12,CÁLCULO!$AB$15:$AL$119)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$119,"="&amp;CRONO!AE$12,CÁLCULO!$AB$15:$AL$119)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1.0000000000000002</v>
      </c>
      <c r="C29" s="204">
        <f ca="1">IF($Q29&lt;&gt;2,0,IF($R29=0,1,IF(E30&gt;0,OFFSET(QCI!$N$13,SUBSTITUTE(E30,".",""),0),OFFSET(ORÇAMENTO!$AB$15,CRONO!$E29,0))/$R29))</f>
        <v>0</v>
      </c>
      <c r="D29" s="207">
        <f ca="1">IF(AND($Q29=2,ACOMPANHAMENTO="BM"),D30,D31/$R29)</f>
        <v>0</v>
      </c>
      <c r="E29" s="204">
        <f ca="1">IF(A29&lt;=ORÇAMENTO.MáximoListaCrono,MATCH(A29,ORÇAMENTO.ListaCrono,0),NA())</f>
        <v>31</v>
      </c>
      <c r="F29" s="204" t="str">
        <f t="shared" ref="F29" ca="1" si="39">IF(AND($E30&lt;&gt;-1,$R29&gt;0),"F","")</f>
        <v>F</v>
      </c>
      <c r="G29" s="208">
        <f ca="1">IF(OR(R29=0,R29=""),"Linha",IF(AND(OR(ACOMPANHAMENTO="PLE",$Q29&lt;&gt;2),$E30=0),"Linha",1-SUM(T29:AF29)))</f>
        <v>0</v>
      </c>
      <c r="H29" s="209" t="str">
        <f ca="1">IF($E30=0,OFFSET(ORÇAMENTO!O$15,$E29,0),IF($E30&lt;&gt;-1,OFFSET(QCI!$D$13,$E30,0),""))</f>
        <v>1.5.</v>
      </c>
      <c r="I29" s="210" t="str">
        <f ca="1">IF($E30=0,OFFSET(ORÇAMENTO!R$15,$E29,0),IF($E30&lt;&gt;-1,OFFSET(QCI!$G$13,$E30,0),""))</f>
        <v>SINALIZAÇÃO</v>
      </c>
      <c r="J29" s="210"/>
      <c r="K29" s="210"/>
      <c r="L29" s="211">
        <f ca="1">IF($E30=0,OFFSET(ORÇAMENTO!C$15,$E29,0),1)</f>
        <v>2</v>
      </c>
      <c r="M29" s="212">
        <f ca="1">IF($E30=-1,0,IF(M$13&lt;=$L29,IF(ISERROR(MATCH(M$13,OFFSET($L29,1,0,ROW($L$68)-ROW($L29)-1),0)),ROW($L$68)-ROW($L29)-1,MATCH(M$13,OFFSET($L29,1,0,ROW($L$68)-ROW($L29)-1),0)-1),0))</f>
        <v>2</v>
      </c>
      <c r="N29" s="212">
        <f ca="1">IF($E30=-1,0,IF(N$13&lt;=$L29,IF(ISERROR(MATCH(N$13,OFFSET($L29,1,0,ROW($L$68)-ROW($L29)-1),0)),ROW($L$68)-ROW($L29)-1,MATCH(N$13,OFFSET($L29,1,0,ROW($L$68)-ROW($L29)-1),0)-1),0))</f>
        <v>5</v>
      </c>
      <c r="O29" s="212">
        <f ca="1">IF($E30=-1,0,IF(O$13&lt;=$L29,IF(ISERROR(MATCH(O$13,OFFSET($L29,1,0,ROW($L$68)-ROW($L29)-1),0)),ROW($L$68)-ROW($L29)-1,MATCH(O$13,OFFSET($L29,1,0,ROW($L$68)-ROW($L29)-1),0)-1),0))</f>
        <v>0</v>
      </c>
      <c r="P29" s="212">
        <f ca="1">IF($E30=-1,0,IF(P$13&lt;=$L29,IF(ISERROR(MATCH(P$13,OFFSET($L29,1,0,ROW($L$68)-ROW($L29)-1),0)),ROW($L$68)-ROW($L29)-1,MATCH(P$13,OFFSET($L29,1,0,ROW($L$68)-ROW($L29)-1),0)-1),0))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14022.73</v>
      </c>
      <c r="S29" s="214" t="s">
        <v>270</v>
      </c>
      <c r="T29" s="215">
        <f t="shared" ref="T29:AE29" ca="1" si="41">IF(AND($Q29=2,ACOMPANHAMENTO="BM"),T30,T31/$R29)</f>
        <v>0</v>
      </c>
      <c r="U29" s="207">
        <f t="shared" ca="1" si="41"/>
        <v>0</v>
      </c>
      <c r="V29" s="207">
        <f t="shared" ca="1" si="41"/>
        <v>0</v>
      </c>
      <c r="W29" s="207">
        <f t="shared" ca="1" si="41"/>
        <v>1</v>
      </c>
      <c r="X29" s="207">
        <f t="shared" ca="1" si="41"/>
        <v>0</v>
      </c>
      <c r="Y29" s="207">
        <f t="shared" ca="1" si="41"/>
        <v>0</v>
      </c>
      <c r="Z29" s="207">
        <f t="shared" ca="1" si="41"/>
        <v>0</v>
      </c>
      <c r="AA29" s="207">
        <f t="shared" ca="1" si="41"/>
        <v>0</v>
      </c>
      <c r="AB29" s="207">
        <f t="shared" ca="1" si="41"/>
        <v>0</v>
      </c>
      <c r="AC29" s="207">
        <f t="shared" ca="1" si="41"/>
        <v>0</v>
      </c>
      <c r="AD29" s="207">
        <f t="shared" ca="1" si="41"/>
        <v>0</v>
      </c>
      <c r="AE29" s="216">
        <f t="shared" ca="1" si="41"/>
        <v>0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0</v>
      </c>
      <c r="F30" s="204" t="str">
        <f t="shared" ref="F30" ca="1" si="42">IF(AND($E30&lt;&gt;-1,$R29&gt;0),"F","")</f>
        <v>F</v>
      </c>
      <c r="G30" s="217" t="str">
        <f ca="1">IF(OR(R29=0,R29=""),"vazia",IF(AND(OR(ACOMPANHAMENTO="PLE",$Q29&lt;&gt;2),$E30=0),"calculada","--&gt;"))</f>
        <v>--&gt;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/>
      <c r="V30" s="569"/>
      <c r="W30" s="569">
        <v>1</v>
      </c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hidden="1" customHeight="1" x14ac:dyDescent="0.2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$119,"="&amp;CRONO!D$12,CÁLCULO!$AB$15:$AL$119)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2$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$119,"&lt;="&amp;CRONO!T$12,CÁLCULO!$AB$15:$AL$119)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$119,"="&amp;CRONO!U$12,CÁLCULO!$AB$15:$AL$119)/(ORÇAMENTO!$X$15-CÁLCULO.TotalAdmLocal)*CRONO!$E31,0),U30*$R29),SUMIF(OFFSET($R31,1,0,$Q29-2),($L29+1)&amp;"$",OFFSET(U31,1,0,$Q29-2)))</f>
        <v>0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$119,"="&amp;CRONO!V$12,CÁLCULO!$AB$15:$AL$119)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$119,"="&amp;CRONO!W$12,CÁLCULO!$AB$15:$AL$119)/(ORÇAMENTO!$X$15-CÁLCULO.TotalAdmLocal)*CRONO!$E31,0),W30*$R29),SUMIF(OFFSET($R31,1,0,$Q29-2),($L29+1)&amp;"$",OFFSET(W31,1,0,$Q29-2)))</f>
        <v>14022.73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$119,"="&amp;CRONO!X$12,CÁLCULO!$AB$15:$AL$119)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$119,"="&amp;CRONO!Y$12,CÁLCULO!$AB$15:$AL$119)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$119,"="&amp;CRONO!Z$12,CÁLCULO!$AB$15:$AL$119)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$119,"="&amp;CRONO!AA$12,CÁLCULO!$AB$15:$AL$119)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$119,"="&amp;CRONO!AB$12,CÁLCULO!$AB$15:$AL$119)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$119,"="&amp;CRONO!AC$12,CÁLCULO!$AB$15:$AL$119)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$119,"="&amp;CRONO!AD$12,CÁLCULO!$AB$15:$AL$119)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$119,"="&amp;CRONO!AE$12,CÁLCULO!$AB$15:$AL$119)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0</v>
      </c>
      <c r="C32" s="204">
        <f ca="1">IF($Q32&lt;&gt;2,0,IF($R32=0,1,IF(E33&gt;0,OFFSET(QCI!$N$13,SUBSTITUTE(E33,".",""),0),OFFSET(ORÇAMENTO!$AB$15,CRONO!$E32,0))/$R32))</f>
        <v>0</v>
      </c>
      <c r="D32" s="207">
        <f ca="1">IF(AND($Q32=2,ACOMPANHAMENTO="BM"),D33,D34/$R32)</f>
        <v>0</v>
      </c>
      <c r="E32" s="204">
        <f ca="1">IF(A32&lt;=ORÇAMENTO.MáximoListaCrono,MATCH(A32,ORÇAMENTO.ListaCrono,0),NA())</f>
        <v>40</v>
      </c>
      <c r="F32" s="204" t="str">
        <f t="shared" ref="F32" ca="1" si="46">IF(AND($E33&lt;&gt;-1,$R32&gt;0),"F","")</f>
        <v>F</v>
      </c>
      <c r="G32" s="208" t="str">
        <f ca="1">IF(OR(R32=0,R32=""),"Linha",IF(AND(OR(ACOMPANHAMENTO="PLE",$Q32&lt;&gt;2),$E33=0),"Linha",1-SUM(T32:AF32)))</f>
        <v>Linha</v>
      </c>
      <c r="H32" s="209" t="str">
        <f ca="1">IF($E33=0,OFFSET(ORÇAMENTO!O$15,$E32,0),IF($E33&lt;&gt;-1,OFFSET(QCI!$D$13,$E33,0),""))</f>
        <v>2.</v>
      </c>
      <c r="I32" s="210" t="str">
        <f ca="1">IF($E33=0,OFFSET(ORÇAMENTO!R$15,$E32,0),IF($E33&lt;&gt;-1,OFFSET(QCI!$G$13,$E33,0),""))</f>
        <v>TRECHO 2 - Rua Presidente Castelo Branco e Travessa Dom Pedro II</v>
      </c>
      <c r="J32" s="210"/>
      <c r="K32" s="210"/>
      <c r="L32" s="211">
        <f ca="1">IF($E33=0,OFFSET(ORÇAMENTO!C$15,$E32,0),1)</f>
        <v>1</v>
      </c>
      <c r="M32" s="212">
        <f ca="1">IF($E33=-1,0,IF(M$13&lt;=$L32,IF(ISERROR(MATCH(M$13,OFFSET($L32,1,0,ROW($L$68)-ROW($L32)-1),0)),ROW($L$68)-ROW($L32)-1,MATCH(M$13,OFFSET($L32,1,0,ROW($L$68)-ROW($L32)-1),0)-1),0))</f>
        <v>17</v>
      </c>
      <c r="N32" s="212">
        <f ca="1">IF($E33=-1,0,IF(N$13&lt;=$L32,IF(ISERROR(MATCH(N$13,OFFSET($L32,1,0,ROW($L$68)-ROW($L32)-1),0)),ROW($L$68)-ROW($L32)-1,MATCH(N$13,OFFSET($L32,1,0,ROW($L$68)-ROW($L32)-1),0)-1),0))</f>
        <v>0</v>
      </c>
      <c r="O32" s="212">
        <f ca="1">IF($E33=-1,0,IF(O$13&lt;=$L32,IF(ISERROR(MATCH(O$13,OFFSET($L32,1,0,ROW($L$68)-ROW($L32)-1),0)),ROW($L$68)-ROW($L32)-1,MATCH(O$13,OFFSET($L32,1,0,ROW($L$68)-ROW($L32)-1),0)-1),0))</f>
        <v>0</v>
      </c>
      <c r="P32" s="212">
        <f ca="1">IF($E33=-1,0,IF(P$13&lt;=$L32,IF(ISERROR(MATCH(P$13,OFFSET($L32,1,0,ROW($L$68)-ROW($L32)-1),0)),ROW($L$68)-ROW($L32)-1,MATCH(P$13,OFFSET($L32,1,0,ROW($L$68)-ROW($L32)-1),0)-1),0))</f>
        <v>0</v>
      </c>
      <c r="Q32" s="212">
        <f t="shared" ref="Q32" ca="1" si="47">MIN(OFFSET(L32,0,1,,L32))</f>
        <v>17</v>
      </c>
      <c r="R32" s="213">
        <f ca="1">IF($E33=0,OFFSET(ORÇAMENTO!X$15,$E32,0),IF($E33&lt;&gt;-1,OFFSET(QCI!$O$13,$E33,0),""))</f>
        <v>492496.24</v>
      </c>
      <c r="S32" s="214" t="s">
        <v>270</v>
      </c>
      <c r="T32" s="215">
        <f t="shared" ref="T32:AE32" ca="1" si="48">IF(AND($Q32=2,ACOMPANHAMENTO="BM"),T33,T34/$R32)</f>
        <v>0.18659502659350252</v>
      </c>
      <c r="U32" s="207">
        <f t="shared" ca="1" si="48"/>
        <v>0.29188491875592792</v>
      </c>
      <c r="V32" s="207">
        <f t="shared" ca="1" si="48"/>
        <v>0.50408725150876277</v>
      </c>
      <c r="W32" s="207">
        <f t="shared" ca="1" si="48"/>
        <v>1.7432803141806726E-2</v>
      </c>
      <c r="X32" s="207">
        <f t="shared" ca="1" si="48"/>
        <v>0</v>
      </c>
      <c r="Y32" s="207">
        <f t="shared" ca="1" si="48"/>
        <v>0</v>
      </c>
      <c r="Z32" s="207">
        <f t="shared" ca="1" si="48"/>
        <v>0</v>
      </c>
      <c r="AA32" s="207">
        <f t="shared" ca="1" si="48"/>
        <v>0</v>
      </c>
      <c r="AB32" s="207">
        <f t="shared" ca="1" si="48"/>
        <v>0</v>
      </c>
      <c r="AC32" s="207">
        <f t="shared" ca="1" si="48"/>
        <v>0</v>
      </c>
      <c r="AD32" s="207">
        <f t="shared" ca="1" si="48"/>
        <v>0</v>
      </c>
      <c r="AE32" s="216">
        <f t="shared" ca="1" si="48"/>
        <v>0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0</v>
      </c>
      <c r="F33" s="204" t="str">
        <f t="shared" ref="F33" ca="1" si="49">IF(AND($E33&lt;&gt;-1,$R32&gt;0),"F","")</f>
        <v>F</v>
      </c>
      <c r="G33" s="217" t="str">
        <f ca="1">IF(OR(R32=0,R32=""),"vazia",IF(AND(OR(ACOMPANHAMENTO="PLE",$Q32&lt;&gt;2),$E33=0),"calculada","--&gt;"))</f>
        <v>calculada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/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2" hidden="1" customHeight="1" x14ac:dyDescent="0.2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$119,"="&amp;CRONO!D$12,CÁLCULO!$AB$15:$AL$119)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1$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$119,"&lt;="&amp;CRONO!T$12,CÁLCULO!$AB$15:$AL$119)/(ORÇAMENTO!$X$15-CÁLCULO.TotalAdmLocal)*CRONO!$E34,0),T33*$R32),SUMIF(OFFSET($R34,1,0,$Q32-2),($L32+1)&amp;"$",OFFSET(T34,1,0,$Q32-2)))</f>
        <v>91897.349000000002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$119,"="&amp;CRONO!U$12,CÁLCULO!$AB$15:$AL$119)/(ORÇAMENTO!$X$15-CÁLCULO.TotalAdmLocal)*CRONO!$E34,0),U33*$R32),SUMIF(OFFSET($R34,1,0,$Q32-2),($L32+1)&amp;"$",OFFSET(U34,1,0,$Q32-2)))</f>
        <v>143752.22499999998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$119,"="&amp;CRONO!V$12,CÁLCULO!$AB$15:$AL$119)/(ORÇAMENTO!$X$15-CÁLCULO.TotalAdmLocal)*CRONO!$E34,0),V33*$R32),SUMIF(OFFSET($R34,1,0,$Q32-2),($L32+1)&amp;"$",OFFSET(V34,1,0,$Q32-2)))</f>
        <v>248261.07599999997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$119,"="&amp;CRONO!W$12,CÁLCULO!$AB$15:$AL$119)/(ORÇAMENTO!$X$15-CÁLCULO.TotalAdmLocal)*CRONO!$E34,0),W33*$R32),SUMIF(OFFSET($R34,1,0,$Q32-2),($L32+1)&amp;"$",OFFSET(W34,1,0,$Q32-2)))</f>
        <v>8585.59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$119,"="&amp;CRONO!X$12,CÁLCULO!$AB$15:$AL$119)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$119,"="&amp;CRONO!Y$12,CÁLCULO!$AB$15:$AL$119)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$119,"="&amp;CRONO!Z$12,CÁLCULO!$AB$15:$AL$119)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$119,"="&amp;CRONO!AA$12,CÁLCULO!$AB$15:$AL$119)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$119,"="&amp;CRONO!AB$12,CÁLCULO!$AB$15:$AL$119)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$119,"="&amp;CRONO!AC$12,CÁLCULO!$AB$15:$AL$119)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$119,"="&amp;CRONO!AD$12,CÁLCULO!$AB$15:$AL$119)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$119,"="&amp;CRONO!AE$12,CÁLCULO!$AB$15:$AL$119)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1</v>
      </c>
      <c r="C35" s="204">
        <f ca="1">IF($Q35&lt;&gt;2,0,IF($R35=0,1,IF(E36&gt;0,OFFSET(QCI!$N$13,SUBSTITUTE(E36,".",""),0),OFFSET(ORÇAMENTO!$AB$15,CRONO!$E35,0))/$R35))</f>
        <v>0</v>
      </c>
      <c r="D35" s="207">
        <f ca="1">IF(AND($Q35=2,ACOMPANHAMENTO="BM"),D36,D37/$R35)</f>
        <v>0</v>
      </c>
      <c r="E35" s="204">
        <f ca="1">IF(A35&lt;=ORÇAMENTO.MáximoListaCrono,MATCH(A35,ORÇAMENTO.ListaCrono,0),NA())</f>
        <v>41</v>
      </c>
      <c r="F35" s="204" t="str">
        <f t="shared" ref="F35" ca="1" si="53">IF(AND($E36&lt;&gt;-1,$R35&gt;0),"F","")</f>
        <v>F</v>
      </c>
      <c r="G35" s="208">
        <f ca="1">IF(OR(R35=0,R35=""),"Linha",IF(AND(OR(ACOMPANHAMENTO="PLE",$Q35&lt;&gt;2),$E36=0),"Linha",1-SUM(T35:AF35)))</f>
        <v>0</v>
      </c>
      <c r="H35" s="209" t="str">
        <f ca="1">IF($E36=0,OFFSET(ORÇAMENTO!O$15,$E35,0),IF($E36&lt;&gt;-1,OFFSET(QCI!$D$13,$E36,0),""))</f>
        <v>2.1.</v>
      </c>
      <c r="I35" s="210" t="str">
        <f ca="1">IF($E36=0,OFFSET(ORÇAMENTO!R$15,$E35,0),IF($E36&lt;&gt;-1,OFFSET(QCI!$G$13,$E36,0),""))</f>
        <v xml:space="preserve">SERVIÇOS INICIAIS </v>
      </c>
      <c r="J35" s="210"/>
      <c r="K35" s="210"/>
      <c r="L35" s="211">
        <f ca="1">IF($E36=0,OFFSET(ORÇAMENTO!C$15,$E35,0),1)</f>
        <v>2</v>
      </c>
      <c r="M35" s="212">
        <f ca="1">IF($E36=-1,0,IF(M$13&lt;=$L35,IF(ISERROR(MATCH(M$13,OFFSET($L35,1,0,ROW($L$68)-ROW($L35)-1),0)),ROW($L$68)-ROW($L35)-1,MATCH(M$13,OFFSET($L35,1,0,ROW($L$68)-ROW($L35)-1),0)-1),0))</f>
        <v>14</v>
      </c>
      <c r="N35" s="212">
        <f ca="1">IF($E36=-1,0,IF(N$13&lt;=$L35,IF(ISERROR(MATCH(N$13,OFFSET($L35,1,0,ROW($L$68)-ROW($L35)-1),0)),ROW($L$68)-ROW($L35)-1,MATCH(N$13,OFFSET($L35,1,0,ROW($L$68)-ROW($L35)-1),0)-1),0))</f>
        <v>2</v>
      </c>
      <c r="O35" s="212">
        <f ca="1">IF($E36=-1,0,IF(O$13&lt;=$L35,IF(ISERROR(MATCH(O$13,OFFSET($L35,1,0,ROW($L$68)-ROW($L35)-1),0)),ROW($L$68)-ROW($L35)-1,MATCH(O$13,OFFSET($L35,1,0,ROW($L$68)-ROW($L35)-1),0)-1),0))</f>
        <v>0</v>
      </c>
      <c r="P35" s="212">
        <f ca="1">IF($E36=-1,0,IF(P$13&lt;=$L35,IF(ISERROR(MATCH(P$13,OFFSET($L35,1,0,ROW($L$68)-ROW($L35)-1),0)),ROW($L$68)-ROW($L35)-1,MATCH(P$13,OFFSET($L35,1,0,ROW($L$68)-ROW($L35)-1),0)-1),0))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8049.5</v>
      </c>
      <c r="S35" s="214" t="s">
        <v>270</v>
      </c>
      <c r="T35" s="215">
        <f t="shared" ref="T35:AE35" ca="1" si="55">IF(AND($Q35=2,ACOMPANHAMENTO="BM"),T36,T37/$R35)</f>
        <v>1</v>
      </c>
      <c r="U35" s="207">
        <f t="shared" ca="1" si="55"/>
        <v>0</v>
      </c>
      <c r="V35" s="207">
        <f t="shared" ca="1" si="55"/>
        <v>0</v>
      </c>
      <c r="W35" s="207">
        <f t="shared" ca="1" si="55"/>
        <v>0</v>
      </c>
      <c r="X35" s="207">
        <f t="shared" ca="1" si="55"/>
        <v>0</v>
      </c>
      <c r="Y35" s="207">
        <f t="shared" ca="1" si="55"/>
        <v>0</v>
      </c>
      <c r="Z35" s="207">
        <f t="shared" ca="1" si="55"/>
        <v>0</v>
      </c>
      <c r="AA35" s="207">
        <f t="shared" ca="1" si="55"/>
        <v>0</v>
      </c>
      <c r="AB35" s="207">
        <f t="shared" ca="1" si="55"/>
        <v>0</v>
      </c>
      <c r="AC35" s="207">
        <f t="shared" ca="1" si="55"/>
        <v>0</v>
      </c>
      <c r="AD35" s="207">
        <f t="shared" ca="1" si="55"/>
        <v>0</v>
      </c>
      <c r="AE35" s="216">
        <f t="shared" ca="1" si="55"/>
        <v>0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0</v>
      </c>
      <c r="F36" s="204" t="str">
        <f t="shared" ref="F36" ca="1" si="56">IF(AND($E36&lt;&gt;-1,$R35&gt;0),"F","")</f>
        <v>F</v>
      </c>
      <c r="G36" s="217" t="str">
        <f ca="1">IF(OR(R35=0,R35=""),"vazia",IF(AND(OR(ACOMPANHAMENTO="PLE",$Q35&lt;&gt;2),$E36=0),"calculada","--&gt;"))</f>
        <v>--&gt;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>
        <v>1</v>
      </c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hidden="1" customHeight="1" x14ac:dyDescent="0.2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$119,"="&amp;CRONO!D$12,CÁLCULO!$AB$15:$AL$119)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2$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$119,"&lt;="&amp;CRONO!T$12,CÁLCULO!$AB$15:$AL$119)/(ORÇAMENTO!$X$15-CÁLCULO.TotalAdmLocal)*CRONO!$E37,0),T36*$R35),SUMIF(OFFSET($R37,1,0,$Q35-2),($L35+1)&amp;"$",OFFSET(T37,1,0,$Q35-2)))</f>
        <v>8049.5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$119,"="&amp;CRONO!U$12,CÁLCULO!$AB$15:$AL$119)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$119,"="&amp;CRONO!V$12,CÁLCULO!$AB$15:$AL$119)/(ORÇAMENTO!$X$15-CÁLCULO.TotalAdmLocal)*CRONO!$E37,0),V36*$R35),SUMIF(OFFSET($R37,1,0,$Q35-2),($L35+1)&amp;"$",OFFSET(V37,1,0,$Q35-2)))</f>
        <v>0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$119,"="&amp;CRONO!W$12,CÁLCULO!$AB$15:$AL$119)/(ORÇAMENTO!$X$15-CÁLCULO.TotalAdmLocal)*CRONO!$E37,0),W36*$R35),SUMIF(OFFSET($R37,1,0,$Q35-2),($L35+1)&amp;"$",OFFSET(W37,1,0,$Q35-2)))</f>
        <v>0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$119,"="&amp;CRONO!X$12,CÁLCULO!$AB$15:$AL$119)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$119,"="&amp;CRONO!Y$12,CÁLCULO!$AB$15:$AL$119)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$119,"="&amp;CRONO!Z$12,CÁLCULO!$AB$15:$AL$119)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$119,"="&amp;CRONO!AA$12,CÁLCULO!$AB$15:$AL$119)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$119,"="&amp;CRONO!AB$12,CÁLCULO!$AB$15:$AL$119)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$119,"="&amp;CRONO!AC$12,CÁLCULO!$AB$15:$AL$119)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$119,"="&amp;CRONO!AD$12,CÁLCULO!$AB$15:$AL$119)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$119,"="&amp;CRONO!AE$12,CÁLCULO!$AB$15:$AL$119)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1.0000000000000002</v>
      </c>
      <c r="C38" s="204">
        <f ca="1">IF($Q38&lt;&gt;2,0,IF($R38=0,1,IF(E39&gt;0,OFFSET(QCI!$N$13,SUBSTITUTE(E39,".",""),0),OFFSET(ORÇAMENTO!$AB$15,CRONO!$E38,0))/$R38))</f>
        <v>0</v>
      </c>
      <c r="D38" s="207">
        <f ca="1">IF(AND($Q38=2,ACOMPANHAMENTO="BM"),D39,D40/$R38)</f>
        <v>0</v>
      </c>
      <c r="E38" s="204">
        <f ca="1">IF(A38&lt;=ORÇAMENTO.MáximoListaCrono,MATCH(A38,ORÇAMENTO.ListaCrono,0),NA())</f>
        <v>45</v>
      </c>
      <c r="F38" s="204" t="str">
        <f t="shared" ref="F38" ca="1" si="60">IF(AND($E39&lt;&gt;-1,$R38&gt;0),"F","")</f>
        <v>F</v>
      </c>
      <c r="G38" s="208">
        <f ca="1">IF(OR(R38=0,R38=""),"Linha",IF(AND(OR(ACOMPANHAMENTO="PLE",$Q38&lt;&gt;2),$E39=0),"Linha",1-SUM(T38:AF38)))</f>
        <v>0</v>
      </c>
      <c r="H38" s="209" t="str">
        <f ca="1">IF($E39=0,OFFSET(ORÇAMENTO!O$15,$E38,0),IF($E39&lt;&gt;-1,OFFSET(QCI!$D$13,$E39,0),""))</f>
        <v>2.2.</v>
      </c>
      <c r="I38" s="210" t="str">
        <f ca="1">IF($E39=0,OFFSET(ORÇAMENTO!R$15,$E38,0),IF($E39&lt;&gt;-1,OFFSET(QCI!$G$13,$E39,0),""))</f>
        <v>ADMINISTRAÇÃO LOCAL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IF($E39=-1,0,IF(M$13&lt;=$L38,IF(ISERROR(MATCH(M$13,OFFSET($L38,1,0,ROW($L$68)-ROW($L38)-1),0)),ROW($L$68)-ROW($L38)-1,MATCH(M$13,OFFSET($L38,1,0,ROW($L$68)-ROW($L38)-1),0)-1),0))</f>
        <v>11</v>
      </c>
      <c r="N38" s="212">
        <f ca="1">IF($E39=-1,0,IF(N$13&lt;=$L38,IF(ISERROR(MATCH(N$13,OFFSET($L38,1,0,ROW($L$68)-ROW($L38)-1),0)),ROW($L$68)-ROW($L38)-1,MATCH(N$13,OFFSET($L38,1,0,ROW($L$68)-ROW($L38)-1),0)-1),0))</f>
        <v>2</v>
      </c>
      <c r="O38" s="212">
        <f ca="1">IF($E39=-1,0,IF(O$13&lt;=$L38,IF(ISERROR(MATCH(O$13,OFFSET($L38,1,0,ROW($L$68)-ROW($L38)-1),0)),ROW($L$68)-ROW($L38)-1,MATCH(O$13,OFFSET($L38,1,0,ROW($L$68)-ROW($L38)-1),0)-1),0))</f>
        <v>0</v>
      </c>
      <c r="P38" s="212">
        <f ca="1">IF($E39=-1,0,IF(P$13&lt;=$L38,IF(ISERROR(MATCH(P$13,OFFSET($L38,1,0,ROW($L$68)-ROW($L38)-1),0)),ROW($L$68)-ROW($L38)-1,MATCH(P$13,OFFSET($L38,1,0,ROW($L$68)-ROW($L38)-1),0)-1),0))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4969.3999999999996</v>
      </c>
      <c r="S38" s="214" t="s">
        <v>270</v>
      </c>
      <c r="T38" s="215">
        <f t="shared" ref="T38:AE38" ca="1" si="62">IF(AND($Q38=2,ACOMPANHAMENTO="BM"),T39,T40/$R38)</f>
        <v>0.5</v>
      </c>
      <c r="U38" s="207">
        <f t="shared" ca="1" si="62"/>
        <v>0.5</v>
      </c>
      <c r="V38" s="207">
        <f t="shared" ca="1" si="62"/>
        <v>0</v>
      </c>
      <c r="W38" s="207">
        <f t="shared" ca="1" si="62"/>
        <v>0</v>
      </c>
      <c r="X38" s="207">
        <f t="shared" ca="1" si="62"/>
        <v>0</v>
      </c>
      <c r="Y38" s="207">
        <f t="shared" ca="1" si="62"/>
        <v>0</v>
      </c>
      <c r="Z38" s="207">
        <f t="shared" ca="1" si="62"/>
        <v>0</v>
      </c>
      <c r="AA38" s="207">
        <f t="shared" ca="1" si="62"/>
        <v>0</v>
      </c>
      <c r="AB38" s="207">
        <f t="shared" ca="1" si="62"/>
        <v>0</v>
      </c>
      <c r="AC38" s="207">
        <f t="shared" ca="1" si="62"/>
        <v>0</v>
      </c>
      <c r="AD38" s="207">
        <f t="shared" ca="1" si="62"/>
        <v>0</v>
      </c>
      <c r="AE38" s="216">
        <f t="shared" ca="1" si="62"/>
        <v>0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0</v>
      </c>
      <c r="F39" s="204" t="str">
        <f t="shared" ref="F39" ca="1" si="63">IF(AND($E39&lt;&gt;-1,$R38&gt;0),"F","")</f>
        <v>F</v>
      </c>
      <c r="G39" s="217" t="str">
        <f ca="1">IF(OR(R38=0,R38=""),"vazia",IF(AND(OR(ACOMPANHAMENTO="PLE",$Q38&lt;&gt;2),$E39=0),"calculada","--&gt;"))</f>
        <v>--&gt;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>
        <v>0.5</v>
      </c>
      <c r="U39" s="569">
        <v>0.5</v>
      </c>
      <c r="V39" s="569"/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hidden="1" customHeight="1" x14ac:dyDescent="0.2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$119,"="&amp;CRONO!D$12,CÁLCULO!$AB$15:$AL$119)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$119,"&lt;="&amp;CRONO!T$12,CÁLCULO!$AB$15:$AL$119)/(ORÇAMENTO!$X$15-CÁLCULO.TotalAdmLocal)*CRONO!$E40,0),T39*$R38),SUMIF(OFFSET($R40,1,0,$Q38-2),($L38+1)&amp;"$",OFFSET(T40,1,0,$Q38-2)))</f>
        <v>2484.6999999999998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$119,"="&amp;CRONO!U$12,CÁLCULO!$AB$15:$AL$119)/(ORÇAMENTO!$X$15-CÁLCULO.TotalAdmLocal)*CRONO!$E40,0),U39*$R38),SUMIF(OFFSET($R40,1,0,$Q38-2),($L38+1)&amp;"$",OFFSET(U40,1,0,$Q38-2)))</f>
        <v>2484.6999999999998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$119,"="&amp;CRONO!V$12,CÁLCULO!$AB$15:$AL$119)/(ORÇAMENTO!$X$15-CÁLCULO.TotalAdmLocal)*CRONO!$E40,0),V39*$R38),SUMIF(OFFSET($R40,1,0,$Q38-2),($L38+1)&amp;"$",OFFSET(V40,1,0,$Q38-2)))</f>
        <v>0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$119,"="&amp;CRONO!W$12,CÁLCULO!$AB$15:$AL$119)/(ORÇAMENTO!$X$15-CÁLCULO.TotalAdmLocal)*CRONO!$E40,0),W39*$R38),SUMIF(OFFSET($R40,1,0,$Q38-2),($L38+1)&amp;"$",OFFSET(W40,1,0,$Q38-2)))</f>
        <v>0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$119,"="&amp;CRONO!X$12,CÁLCULO!$AB$15:$AL$119)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$119,"="&amp;CRONO!Y$12,CÁLCULO!$AB$15:$AL$119)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$119,"="&amp;CRONO!Z$12,CÁLCULO!$AB$15:$AL$119)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$119,"="&amp;CRONO!AA$12,CÁLCULO!$AB$15:$AL$119)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$119,"="&amp;CRONO!AB$12,CÁLCULO!$AB$15:$AL$119)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$119,"="&amp;CRONO!AC$12,CÁLCULO!$AB$15:$AL$119)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$119,"="&amp;CRONO!AD$12,CÁLCULO!$AB$15:$AL$119)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$119,"="&amp;CRONO!AE$12,CÁLCULO!$AB$15:$AL$119)/(ORÇAMENTO!$X$15-CÁLCULO.TotalAdmLocal)*CRONO!$E40,0),AE39*$R38),SUMIF(OFFSET($R40,1,0,$Q38-2),($L38+1)&amp;"$",OFFSET(AE40,1,0,$Q38-2)))</f>
        <v>0</v>
      </c>
    </row>
    <row r="41" spans="1:32" x14ac:dyDescent="0.2">
      <c r="A41" s="204">
        <f t="shared" ref="A41" ca="1" si="66">OFFSET(A41,-3,0)+1</f>
        <v>10</v>
      </c>
      <c r="B41" s="204">
        <f ca="1">IF($Q41&lt;&gt;2,0,IF($R41=0,1,IF(E42&gt;0,OFFSET(QCI!$M$13,SUBSTITUTE(E42,".",""),0),OFFSET(ORÇAMENTO!$AA$15,CRONO!$E41,0))/$R41))</f>
        <v>0.99999999999999989</v>
      </c>
      <c r="C41" s="204">
        <f ca="1">IF($Q41&lt;&gt;2,0,IF($R41=0,1,IF(E42&gt;0,OFFSET(QCI!$N$13,SUBSTITUTE(E42,".",""),0),OFFSET(ORÇAMENTO!$AB$15,CRONO!$E41,0))/$R41))</f>
        <v>0</v>
      </c>
      <c r="D41" s="207">
        <f ca="1">IF(AND($Q41=2,ACOMPANHAMENTO="BM"),D42,D43/$R41)</f>
        <v>0</v>
      </c>
      <c r="E41" s="204">
        <f ca="1">IF(A41&lt;=ORÇAMENTO.MáximoListaCrono,MATCH(A41,ORÇAMENTO.ListaCrono,0),NA())</f>
        <v>49</v>
      </c>
      <c r="F41" s="204" t="str">
        <f t="shared" ref="F41" ca="1" si="67">IF(AND($E42&lt;&gt;-1,$R41&gt;0),"F","")</f>
        <v>F</v>
      </c>
      <c r="G41" s="208">
        <f ca="1">IF(OR(R41=0,R41=""),"Linha",IF(AND(OR(ACOMPANHAMENTO="PLE",$Q41&lt;&gt;2),$E42=0),"Linha",1-SUM(T41:AF41)))</f>
        <v>0</v>
      </c>
      <c r="H41" s="209" t="str">
        <f ca="1">IF($E42=0,OFFSET(ORÇAMENTO!O$15,$E41,0),IF($E42&lt;&gt;-1,OFFSET(QCI!$D$13,$E42,0),""))</f>
        <v>2.3.</v>
      </c>
      <c r="I41" s="210" t="str">
        <f ca="1">IF($E42=0,OFFSET(ORÇAMENTO!R$15,$E41,0),IF($E42&lt;&gt;-1,OFFSET(QCI!$G$13,$E42,0),""))</f>
        <v>DRENAGEM PLUVIAL</v>
      </c>
      <c r="J41" s="210"/>
      <c r="K41" s="210"/>
      <c r="L41" s="211">
        <f ca="1">IF($E42=0,OFFSET(ORÇAMENTO!C$15,$E41,0),1)</f>
        <v>2</v>
      </c>
      <c r="M41" s="212">
        <f ca="1">IF($E42=-1,0,IF(M$13&lt;=$L41,IF(ISERROR(MATCH(M$13,OFFSET($L41,1,0,ROW($L$68)-ROW($L41)-1),0)),ROW($L$68)-ROW($L41)-1,MATCH(M$13,OFFSET($L41,1,0,ROW($L$68)-ROW($L41)-1),0)-1),0))</f>
        <v>8</v>
      </c>
      <c r="N41" s="212">
        <f ca="1">IF($E42=-1,0,IF(N$13&lt;=$L41,IF(ISERROR(MATCH(N$13,OFFSET($L41,1,0,ROW($L$68)-ROW($L41)-1),0)),ROW($L$68)-ROW($L41)-1,MATCH(N$13,OFFSET($L41,1,0,ROW($L$68)-ROW($L41)-1),0)-1),0))</f>
        <v>2</v>
      </c>
      <c r="O41" s="212">
        <f ca="1">IF($E42=-1,0,IF(O$13&lt;=$L41,IF(ISERROR(MATCH(O$13,OFFSET($L41,1,0,ROW($L$68)-ROW($L41)-1),0)),ROW($L$68)-ROW($L41)-1,MATCH(O$13,OFFSET($L41,1,0,ROW($L$68)-ROW($L41)-1),0)-1),0))</f>
        <v>0</v>
      </c>
      <c r="P41" s="212">
        <f ca="1">IF($E42=-1,0,IF(P$13&lt;=$L41,IF(ISERROR(MATCH(P$13,OFFSET($L41,1,0,ROW($L$68)-ROW($L41)-1),0)),ROW($L$68)-ROW($L41)-1,MATCH(P$13,OFFSET($L41,1,0,ROW($L$68)-ROW($L41)-1),0)-1),0))</f>
        <v>0</v>
      </c>
      <c r="Q41" s="212">
        <f t="shared" ref="Q41" ca="1" si="68">MIN(OFFSET(L41,0,1,,L41))</f>
        <v>2</v>
      </c>
      <c r="R41" s="213">
        <f ca="1">IF($E42=0,OFFSET(ORÇAMENTO!X$15,$E41,0),IF($E42&lt;&gt;-1,OFFSET(QCI!$O$13,$E42,0),""))</f>
        <v>116233.07</v>
      </c>
      <c r="S41" s="214" t="s">
        <v>270</v>
      </c>
      <c r="T41" s="215">
        <f t="shared" ref="T41:AE41" ca="1" si="69">IF(AND($Q41=2,ACOMPANHAMENTO="BM"),T42,T43/$R41)</f>
        <v>0.7</v>
      </c>
      <c r="U41" s="207">
        <f t="shared" ca="1" si="69"/>
        <v>0.3</v>
      </c>
      <c r="V41" s="207">
        <f t="shared" ca="1" si="69"/>
        <v>0</v>
      </c>
      <c r="W41" s="207">
        <f t="shared" ca="1" si="69"/>
        <v>0</v>
      </c>
      <c r="X41" s="207">
        <f t="shared" ca="1" si="69"/>
        <v>0</v>
      </c>
      <c r="Y41" s="207">
        <f t="shared" ca="1" si="69"/>
        <v>0</v>
      </c>
      <c r="Z41" s="207">
        <f t="shared" ca="1" si="69"/>
        <v>0</v>
      </c>
      <c r="AA41" s="207">
        <f t="shared" ca="1" si="69"/>
        <v>0</v>
      </c>
      <c r="AB41" s="207">
        <f t="shared" ca="1" si="69"/>
        <v>0</v>
      </c>
      <c r="AC41" s="207">
        <f t="shared" ca="1" si="69"/>
        <v>0</v>
      </c>
      <c r="AD41" s="207">
        <f t="shared" ca="1" si="69"/>
        <v>0</v>
      </c>
      <c r="AE41" s="216">
        <f t="shared" ca="1" si="69"/>
        <v>0</v>
      </c>
    </row>
    <row r="42" spans="1:32" ht="12.75" customHeight="1" x14ac:dyDescent="0.2">
      <c r="D42" s="569"/>
      <c r="E42" s="204">
        <f ca="1">IF(ISERROR(E41),IF(1+COUNTIF($L$13:OFFSET(L41,-1,0),1)&lt;=MAX(QCI!$D$13:$D$24),1+COUNTIF($L$13:OFFSET(L41,-1,0),1),-1),0)</f>
        <v>0</v>
      </c>
      <c r="F42" s="204" t="str">
        <f t="shared" ref="F42" ca="1" si="70">IF(AND($E42&lt;&gt;-1,$R41&gt;0),"F","")</f>
        <v>F</v>
      </c>
      <c r="G42" s="217" t="str">
        <f ca="1">IF(OR(R41=0,R41=""),"vazia",IF(AND(OR(ACOMPANHAMENTO="PLE",$Q41&lt;&gt;2),$E42=0),"calculada","--&gt;"))</f>
        <v>--&gt;</v>
      </c>
      <c r="H42" s="218"/>
      <c r="I42" s="219" t="str">
        <f t="shared" ref="I42" ca="1" si="71">IF(AND(G41&lt;&gt;0,ISNUMBER(G41)),"PREENCHA ESTA LINHA --&gt;","")</f>
        <v/>
      </c>
      <c r="J42" s="219"/>
      <c r="K42" s="219"/>
      <c r="L42" s="220"/>
      <c r="M42" s="220"/>
      <c r="N42" s="220"/>
      <c r="O42" s="220"/>
      <c r="P42" s="220"/>
      <c r="Q42" s="220"/>
      <c r="R42" s="221"/>
      <c r="S42" s="222"/>
      <c r="T42" s="570">
        <v>0.7</v>
      </c>
      <c r="U42" s="569">
        <v>0.3</v>
      </c>
      <c r="V42" s="569"/>
      <c r="W42" s="569"/>
      <c r="X42" s="569"/>
      <c r="Y42" s="569"/>
      <c r="Z42" s="569"/>
      <c r="AA42" s="569"/>
      <c r="AB42" s="569"/>
      <c r="AC42" s="569"/>
      <c r="AD42" s="569"/>
      <c r="AE42" s="571"/>
      <c r="AF42" s="533"/>
    </row>
    <row r="43" spans="1:32" ht="0.2" hidden="1" customHeight="1" x14ac:dyDescent="0.2">
      <c r="D43" s="223">
        <f ca="1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$119,"="&amp;CRONO!D$12,CÁLCULO!$AB$15:$AL$119)/(ORÇAMENTO!$X$15-CÁLCULO.TotalAdmLocal)*CRONO!$E43,0),D42*$R41),SUMIF(OFFSET($R43,1,0,$Q41-2),($L41+1)&amp;"$",OFFSET(D43,1,0,$Q41-2)))</f>
        <v>0</v>
      </c>
      <c r="E43" s="20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224"/>
      <c r="R43" s="225" t="str">
        <f t="shared" ref="R43" ca="1" si="72">L41&amp;"$"</f>
        <v>2$</v>
      </c>
      <c r="S43" s="226"/>
      <c r="T43" s="227">
        <f ca="1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$119,"&lt;="&amp;CRONO!T$12,CÁLCULO!$AB$15:$AL$119)/(ORÇAMENTO!$X$15-CÁLCULO.TotalAdmLocal)*CRONO!$E43,0),T42*$R41),SUMIF(OFFSET($R43,1,0,$Q41-2),($L41+1)&amp;"$",OFFSET(T43,1,0,$Q41-2)))</f>
        <v>81363.149000000005</v>
      </c>
      <c r="U43" s="223">
        <f ca="1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$119,"="&amp;CRONO!U$12,CÁLCULO!$AB$15:$AL$119)/(ORÇAMENTO!$X$15-CÁLCULO.TotalAdmLocal)*CRONO!$E43,0),U42*$R41),SUMIF(OFFSET($R43,1,0,$Q41-2),($L41+1)&amp;"$",OFFSET(U43,1,0,$Q41-2)))</f>
        <v>34869.921000000002</v>
      </c>
      <c r="V43" s="223">
        <f ca="1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$119,"="&amp;CRONO!V$12,CÁLCULO!$AB$15:$AL$119)/(ORÇAMENTO!$X$15-CÁLCULO.TotalAdmLocal)*CRONO!$E43,0),V42*$R41),SUMIF(OFFSET($R43,1,0,$Q41-2),($L41+1)&amp;"$",OFFSET(V43,1,0,$Q41-2)))</f>
        <v>0</v>
      </c>
      <c r="W43" s="223">
        <f ca="1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$119,"="&amp;CRONO!W$12,CÁLCULO!$AB$15:$AL$119)/(ORÇAMENTO!$X$15-CÁLCULO.TotalAdmLocal)*CRONO!$E43,0),W42*$R41),SUMIF(OFFSET($R43,1,0,$Q41-2),($L41+1)&amp;"$",OFFSET(W43,1,0,$Q41-2)))</f>
        <v>0</v>
      </c>
      <c r="X43" s="223">
        <f ca="1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$119,"="&amp;CRONO!X$12,CÁLCULO!$AB$15:$AL$119)/(ORÇAMENTO!$X$15-CÁLCULO.TotalAdmLocal)*CRONO!$E43,0),X42*$R41),SUMIF(OFFSET($R43,1,0,$Q41-2),($L41+1)&amp;"$",OFFSET(X43,1,0,$Q41-2)))</f>
        <v>0</v>
      </c>
      <c r="Y43" s="223">
        <f ca="1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$119,"="&amp;CRONO!Y$12,CÁLCULO!$AB$15:$AL$119)/(ORÇAMENTO!$X$15-CÁLCULO.TotalAdmLocal)*CRONO!$E43,0),Y42*$R41),SUMIF(OFFSET($R43,1,0,$Q41-2),($L41+1)&amp;"$",OFFSET(Y43,1,0,$Q41-2)))</f>
        <v>0</v>
      </c>
      <c r="Z43" s="223">
        <f ca="1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$119,"="&amp;CRONO!Z$12,CÁLCULO!$AB$15:$AL$119)/(ORÇAMENTO!$X$15-CÁLCULO.TotalAdmLocal)*CRONO!$E43,0),Z42*$R41),SUMIF(OFFSET($R43,1,0,$Q41-2),($L41+1)&amp;"$",OFFSET(Z43,1,0,$Q41-2)))</f>
        <v>0</v>
      </c>
      <c r="AA43" s="223">
        <f ca="1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$119,"="&amp;CRONO!AA$12,CÁLCULO!$AB$15:$AL$119)/(ORÇAMENTO!$X$15-CÁLCULO.TotalAdmLocal)*CRONO!$E43,0),AA42*$R41),SUMIF(OFFSET($R43,1,0,$Q41-2),($L41+1)&amp;"$",OFFSET(AA43,1,0,$Q41-2)))</f>
        <v>0</v>
      </c>
      <c r="AB43" s="223">
        <f ca="1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$119,"="&amp;CRONO!AB$12,CÁLCULO!$AB$15:$AL$119)/(ORÇAMENTO!$X$15-CÁLCULO.TotalAdmLocal)*CRONO!$E43,0),AB42*$R41),SUMIF(OFFSET($R43,1,0,$Q41-2),($L41+1)&amp;"$",OFFSET(AB43,1,0,$Q41-2)))</f>
        <v>0</v>
      </c>
      <c r="AC43" s="223">
        <f ca="1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$119,"="&amp;CRONO!AC$12,CÁLCULO!$AB$15:$AL$119)/(ORÇAMENTO!$X$15-CÁLCULO.TotalAdmLocal)*CRONO!$E43,0),AC42*$R41),SUMIF(OFFSET($R43,1,0,$Q41-2),($L41+1)&amp;"$",OFFSET(AC43,1,0,$Q41-2)))</f>
        <v>0</v>
      </c>
      <c r="AD43" s="223">
        <f ca="1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$119,"="&amp;CRONO!AD$12,CÁLCULO!$AB$15:$AL$119)/(ORÇAMENTO!$X$15-CÁLCULO.TotalAdmLocal)*CRONO!$E43,0),AD42*$R41),SUMIF(OFFSET($R43,1,0,$Q41-2),($L41+1)&amp;"$",OFFSET(AD43,1,0,$Q41-2)))</f>
        <v>0</v>
      </c>
      <c r="AE43" s="228">
        <f ca="1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$119,"="&amp;CRONO!AE$12,CÁLCULO!$AB$15:$AL$119)/(ORÇAMENTO!$X$15-CÁLCULO.TotalAdmLocal)*CRONO!$E43,0),AE42*$R41),SUMIF(OFFSET($R43,1,0,$Q41-2),($L41+1)&amp;"$",OFFSET(AE43,1,0,$Q41-2)))</f>
        <v>0</v>
      </c>
    </row>
    <row r="44" spans="1:32" x14ac:dyDescent="0.2">
      <c r="A44" s="204">
        <f t="shared" ref="A44" ca="1" si="73">OFFSET(A44,-3,0)+1</f>
        <v>11</v>
      </c>
      <c r="B44" s="204">
        <f ca="1">IF($Q44&lt;&gt;2,0,IF($R44=0,1,IF(E45&gt;0,OFFSET(QCI!$M$13,SUBSTITUTE(E45,".",""),0),OFFSET(ORÇAMENTO!$AA$15,CRONO!$E44,0))/$R44))</f>
        <v>1</v>
      </c>
      <c r="C44" s="204">
        <f ca="1">IF($Q44&lt;&gt;2,0,IF($R44=0,1,IF(E45&gt;0,OFFSET(QCI!$N$13,SUBSTITUTE(E45,".",""),0),OFFSET(ORÇAMENTO!$AB$15,CRONO!$E44,0))/$R44))</f>
        <v>0</v>
      </c>
      <c r="D44" s="207">
        <f ca="1">IF(AND($Q44=2,ACOMPANHAMENTO="BM"),D45,D46/$R44)</f>
        <v>0</v>
      </c>
      <c r="E44" s="204">
        <f ca="1">IF(A44&lt;=ORÇAMENTO.MáximoListaCrono,MATCH(A44,ORÇAMENTO.ListaCrono,0),NA())</f>
        <v>58</v>
      </c>
      <c r="F44" s="204" t="str">
        <f t="shared" ref="F44" ca="1" si="74">IF(AND($E45&lt;&gt;-1,$R44&gt;0),"F","")</f>
        <v>F</v>
      </c>
      <c r="G44" s="208">
        <f ca="1">IF(OR(R44=0,R44=""),"Linha",IF(AND(OR(ACOMPANHAMENTO="PLE",$Q44&lt;&gt;2),$E45=0),"Linha",1-SUM(T44:AF44)))</f>
        <v>0</v>
      </c>
      <c r="H44" s="209" t="str">
        <f ca="1">IF($E45=0,OFFSET(ORÇAMENTO!O$15,$E44,0),IF($E45&lt;&gt;-1,OFFSET(QCI!$D$13,$E45,0),""))</f>
        <v>2.4.</v>
      </c>
      <c r="I44" s="210" t="str">
        <f ca="1">IF($E45=0,OFFSET(ORÇAMENTO!R$15,$E44,0),IF($E45&lt;&gt;-1,OFFSET(QCI!$G$13,$E45,0),""))</f>
        <v>PAVIMENTAÇÃO</v>
      </c>
      <c r="J44" s="210"/>
      <c r="K44" s="210"/>
      <c r="L44" s="211">
        <f ca="1">IF($E45=0,OFFSET(ORÇAMENTO!C$15,$E44,0),1)</f>
        <v>2</v>
      </c>
      <c r="M44" s="212">
        <f ca="1">IF($E45=-1,0,IF(M$13&lt;=$L44,IF(ISERROR(MATCH(M$13,OFFSET($L44,1,0,ROW($L$68)-ROW($L44)-1),0)),ROW($L$68)-ROW($L44)-1,MATCH(M$13,OFFSET($L44,1,0,ROW($L$68)-ROW($L44)-1),0)-1),0))</f>
        <v>5</v>
      </c>
      <c r="N44" s="212">
        <f ca="1">IF($E45=-1,0,IF(N$13&lt;=$L44,IF(ISERROR(MATCH(N$13,OFFSET($L44,1,0,ROW($L$68)-ROW($L44)-1),0)),ROW($L$68)-ROW($L44)-1,MATCH(N$13,OFFSET($L44,1,0,ROW($L$68)-ROW($L44)-1),0)-1),0))</f>
        <v>2</v>
      </c>
      <c r="O44" s="212">
        <f ca="1">IF($E45=-1,0,IF(O$13&lt;=$L44,IF(ISERROR(MATCH(O$13,OFFSET($L44,1,0,ROW($L$68)-ROW($L44)-1),0)),ROW($L$68)-ROW($L44)-1,MATCH(O$13,OFFSET($L44,1,0,ROW($L$68)-ROW($L44)-1),0)-1),0))</f>
        <v>0</v>
      </c>
      <c r="P44" s="212">
        <f ca="1">IF($E45=-1,0,IF(P$13&lt;=$L44,IF(ISERROR(MATCH(P$13,OFFSET($L44,1,0,ROW($L$68)-ROW($L44)-1),0)),ROW($L$68)-ROW($L44)-1,MATCH(P$13,OFFSET($L44,1,0,ROW($L$68)-ROW($L44)-1),0)-1),0))</f>
        <v>0</v>
      </c>
      <c r="Q44" s="212">
        <f t="shared" ref="Q44" ca="1" si="75">MIN(OFFSET(L44,0,1,,L44))</f>
        <v>2</v>
      </c>
      <c r="R44" s="213">
        <f ca="1">IF($E45=0,OFFSET(ORÇAMENTO!X$15,$E44,0),IF($E45&lt;&gt;-1,OFFSET(QCI!$O$13,$E45,0),""))</f>
        <v>354658.68</v>
      </c>
      <c r="S44" s="214" t="s">
        <v>270</v>
      </c>
      <c r="T44" s="215">
        <f t="shared" ref="T44:AE44" ca="1" si="76">IF(AND($Q44=2,ACOMPANHAMENTO="BM"),T45,T46/$R44)</f>
        <v>0</v>
      </c>
      <c r="U44" s="207">
        <f t="shared" ca="1" si="76"/>
        <v>0.3</v>
      </c>
      <c r="V44" s="207">
        <f t="shared" ca="1" si="76"/>
        <v>0.7</v>
      </c>
      <c r="W44" s="207">
        <f t="shared" ca="1" si="76"/>
        <v>0</v>
      </c>
      <c r="X44" s="207">
        <f t="shared" ca="1" si="76"/>
        <v>0</v>
      </c>
      <c r="Y44" s="207">
        <f t="shared" ca="1" si="76"/>
        <v>0</v>
      </c>
      <c r="Z44" s="207">
        <f t="shared" ca="1" si="76"/>
        <v>0</v>
      </c>
      <c r="AA44" s="207">
        <f t="shared" ca="1" si="76"/>
        <v>0</v>
      </c>
      <c r="AB44" s="207">
        <f t="shared" ca="1" si="76"/>
        <v>0</v>
      </c>
      <c r="AC44" s="207">
        <f t="shared" ca="1" si="76"/>
        <v>0</v>
      </c>
      <c r="AD44" s="207">
        <f t="shared" ca="1" si="76"/>
        <v>0</v>
      </c>
      <c r="AE44" s="216">
        <f t="shared" ca="1" si="76"/>
        <v>0</v>
      </c>
    </row>
    <row r="45" spans="1:32" ht="12.75" customHeight="1" x14ac:dyDescent="0.2">
      <c r="D45" s="569"/>
      <c r="E45" s="204">
        <f ca="1">IF(ISERROR(E44),IF(1+COUNTIF($L$13:OFFSET(L44,-1,0),1)&lt;=MAX(QCI!$D$13:$D$24),1+COUNTIF($L$13:OFFSET(L44,-1,0),1),-1),0)</f>
        <v>0</v>
      </c>
      <c r="F45" s="204" t="str">
        <f t="shared" ref="F45" ca="1" si="77">IF(AND($E45&lt;&gt;-1,$R44&gt;0),"F","")</f>
        <v>F</v>
      </c>
      <c r="G45" s="217" t="str">
        <f ca="1">IF(OR(R44=0,R44=""),"vazia",IF(AND(OR(ACOMPANHAMENTO="PLE",$Q44&lt;&gt;2),$E45=0),"calculada","--&gt;"))</f>
        <v>--&gt;</v>
      </c>
      <c r="H45" s="218"/>
      <c r="I45" s="219" t="str">
        <f t="shared" ref="I45" ca="1" si="78">IF(AND(G44&lt;&gt;0,ISNUMBER(G44)),"PREENCHA ESTA LINHA --&gt;","")</f>
        <v/>
      </c>
      <c r="J45" s="219"/>
      <c r="K45" s="219"/>
      <c r="L45" s="220"/>
      <c r="M45" s="220"/>
      <c r="N45" s="220"/>
      <c r="O45" s="220"/>
      <c r="P45" s="220"/>
      <c r="Q45" s="220"/>
      <c r="R45" s="221"/>
      <c r="S45" s="222"/>
      <c r="T45" s="570"/>
      <c r="U45" s="569">
        <v>0.3</v>
      </c>
      <c r="V45" s="569">
        <v>0.7</v>
      </c>
      <c r="W45" s="569"/>
      <c r="X45" s="569"/>
      <c r="Y45" s="569"/>
      <c r="Z45" s="569"/>
      <c r="AA45" s="569"/>
      <c r="AB45" s="569"/>
      <c r="AC45" s="569"/>
      <c r="AD45" s="569"/>
      <c r="AE45" s="571"/>
      <c r="AF45" s="533"/>
    </row>
    <row r="46" spans="1:32" ht="0.2" hidden="1" customHeight="1" x14ac:dyDescent="0.2">
      <c r="D46" s="223">
        <f ca="1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$119,"="&amp;CRONO!D$12,CÁLCULO!$AB$15:$AL$119)/(ORÇAMENTO!$X$15-CÁLCULO.TotalAdmLocal)*CRONO!$E46,0),D45*$R44),SUMIF(OFFSET($R46,1,0,$Q44-2),($L44+1)&amp;"$",OFFSET(D46,1,0,$Q44-2)))</f>
        <v>0</v>
      </c>
      <c r="E46" s="20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224"/>
      <c r="R46" s="225" t="str">
        <f t="shared" ref="R46" ca="1" si="79">L44&amp;"$"</f>
        <v>2$</v>
      </c>
      <c r="S46" s="226"/>
      <c r="T46" s="227">
        <f ca="1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$119,"&lt;="&amp;CRONO!T$12,CÁLCULO!$AB$15:$AL$119)/(ORÇAMENTO!$X$15-CÁLCULO.TotalAdmLocal)*CRONO!$E46,0),T45*$R44),SUMIF(OFFSET($R46,1,0,$Q44-2),($L44+1)&amp;"$",OFFSET(T46,1,0,$Q44-2)))</f>
        <v>0</v>
      </c>
      <c r="U46" s="223">
        <f ca="1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$119,"="&amp;CRONO!U$12,CÁLCULO!$AB$15:$AL$119)/(ORÇAMENTO!$X$15-CÁLCULO.TotalAdmLocal)*CRONO!$E46,0),U45*$R44),SUMIF(OFFSET($R46,1,0,$Q44-2),($L44+1)&amp;"$",OFFSET(U46,1,0,$Q44-2)))</f>
        <v>106397.60399999999</v>
      </c>
      <c r="V46" s="223">
        <f ca="1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$119,"="&amp;CRONO!V$12,CÁLCULO!$AB$15:$AL$119)/(ORÇAMENTO!$X$15-CÁLCULO.TotalAdmLocal)*CRONO!$E46,0),V45*$R44),SUMIF(OFFSET($R46,1,0,$Q44-2),($L44+1)&amp;"$",OFFSET(V46,1,0,$Q44-2)))</f>
        <v>248261.07599999997</v>
      </c>
      <c r="W46" s="223">
        <f ca="1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$119,"="&amp;CRONO!W$12,CÁLCULO!$AB$15:$AL$119)/(ORÇAMENTO!$X$15-CÁLCULO.TotalAdmLocal)*CRONO!$E46,0),W45*$R44),SUMIF(OFFSET($R46,1,0,$Q44-2),($L44+1)&amp;"$",OFFSET(W46,1,0,$Q44-2)))</f>
        <v>0</v>
      </c>
      <c r="X46" s="223">
        <f ca="1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$119,"="&amp;CRONO!X$12,CÁLCULO!$AB$15:$AL$119)/(ORÇAMENTO!$X$15-CÁLCULO.TotalAdmLocal)*CRONO!$E46,0),X45*$R44),SUMIF(OFFSET($R46,1,0,$Q44-2),($L44+1)&amp;"$",OFFSET(X46,1,0,$Q44-2)))</f>
        <v>0</v>
      </c>
      <c r="Y46" s="223">
        <f ca="1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$119,"="&amp;CRONO!Y$12,CÁLCULO!$AB$15:$AL$119)/(ORÇAMENTO!$X$15-CÁLCULO.TotalAdmLocal)*CRONO!$E46,0),Y45*$R44),SUMIF(OFFSET($R46,1,0,$Q44-2),($L44+1)&amp;"$",OFFSET(Y46,1,0,$Q44-2)))</f>
        <v>0</v>
      </c>
      <c r="Z46" s="223">
        <f ca="1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$119,"="&amp;CRONO!Z$12,CÁLCULO!$AB$15:$AL$119)/(ORÇAMENTO!$X$15-CÁLCULO.TotalAdmLocal)*CRONO!$E46,0),Z45*$R44),SUMIF(OFFSET($R46,1,0,$Q44-2),($L44+1)&amp;"$",OFFSET(Z46,1,0,$Q44-2)))</f>
        <v>0</v>
      </c>
      <c r="AA46" s="223">
        <f ca="1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$119,"="&amp;CRONO!AA$12,CÁLCULO!$AB$15:$AL$119)/(ORÇAMENTO!$X$15-CÁLCULO.TotalAdmLocal)*CRONO!$E46,0),AA45*$R44),SUMIF(OFFSET($R46,1,0,$Q44-2),($L44+1)&amp;"$",OFFSET(AA46,1,0,$Q44-2)))</f>
        <v>0</v>
      </c>
      <c r="AB46" s="223">
        <f ca="1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$119,"="&amp;CRONO!AB$12,CÁLCULO!$AB$15:$AL$119)/(ORÇAMENTO!$X$15-CÁLCULO.TotalAdmLocal)*CRONO!$E46,0),AB45*$R44),SUMIF(OFFSET($R46,1,0,$Q44-2),($L44+1)&amp;"$",OFFSET(AB46,1,0,$Q44-2)))</f>
        <v>0</v>
      </c>
      <c r="AC46" s="223">
        <f ca="1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$119,"="&amp;CRONO!AC$12,CÁLCULO!$AB$15:$AL$119)/(ORÇAMENTO!$X$15-CÁLCULO.TotalAdmLocal)*CRONO!$E46,0),AC45*$R44),SUMIF(OFFSET($R46,1,0,$Q44-2),($L44+1)&amp;"$",OFFSET(AC46,1,0,$Q44-2)))</f>
        <v>0</v>
      </c>
      <c r="AD46" s="223">
        <f ca="1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$119,"="&amp;CRONO!AD$12,CÁLCULO!$AB$15:$AL$119)/(ORÇAMENTO!$X$15-CÁLCULO.TotalAdmLocal)*CRONO!$E46,0),AD45*$R44),SUMIF(OFFSET($R46,1,0,$Q44-2),($L44+1)&amp;"$",OFFSET(AD46,1,0,$Q44-2)))</f>
        <v>0</v>
      </c>
      <c r="AE46" s="228">
        <f ca="1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$119,"="&amp;CRONO!AE$12,CÁLCULO!$AB$15:$AL$119)/(ORÇAMENTO!$X$15-CÁLCULO.TotalAdmLocal)*CRONO!$E46,0),AE45*$R44),SUMIF(OFFSET($R46,1,0,$Q44-2),($L44+1)&amp;"$",OFFSET(AE46,1,0,$Q44-2)))</f>
        <v>0</v>
      </c>
    </row>
    <row r="47" spans="1:32" x14ac:dyDescent="0.2">
      <c r="A47" s="204">
        <f t="shared" ref="A47" ca="1" si="80">OFFSET(A47,-3,0)+1</f>
        <v>12</v>
      </c>
      <c r="B47" s="204">
        <f ca="1">IF($Q47&lt;&gt;2,0,IF($R47=0,1,IF(E48&gt;0,OFFSET(QCI!$M$13,SUBSTITUTE(E48,".",""),0),OFFSET(ORÇAMENTO!$AA$15,CRONO!$E47,0))/$R47))</f>
        <v>1</v>
      </c>
      <c r="C47" s="204">
        <f ca="1">IF($Q47&lt;&gt;2,0,IF($R47=0,1,IF(E48&gt;0,OFFSET(QCI!$N$13,SUBSTITUTE(E48,".",""),0),OFFSET(ORÇAMENTO!$AB$15,CRONO!$E47,0))/$R47))</f>
        <v>0</v>
      </c>
      <c r="D47" s="207">
        <f ca="1">IF(AND($Q47=2,ACOMPANHAMENTO="BM"),D48,D49/$R47)</f>
        <v>0</v>
      </c>
      <c r="E47" s="204">
        <f ca="1">IF(A47&lt;=ORÇAMENTO.MáximoListaCrono,MATCH(A47,ORÇAMENTO.ListaCrono,0),NA())</f>
        <v>67</v>
      </c>
      <c r="F47" s="204" t="str">
        <f t="shared" ref="F47" ca="1" si="81">IF(AND($E48&lt;&gt;-1,$R47&gt;0),"F","")</f>
        <v>F</v>
      </c>
      <c r="G47" s="208">
        <f ca="1">IF(OR(R47=0,R47=""),"Linha",IF(AND(OR(ACOMPANHAMENTO="PLE",$Q47&lt;&gt;2),$E48=0),"Linha",1-SUM(T47:AF47)))</f>
        <v>0</v>
      </c>
      <c r="H47" s="209" t="str">
        <f ca="1">IF($E48=0,OFFSET(ORÇAMENTO!O$15,$E47,0),IF($E48&lt;&gt;-1,OFFSET(QCI!$D$13,$E48,0),""))</f>
        <v>2.5.</v>
      </c>
      <c r="I47" s="210" t="str">
        <f ca="1">IF($E48=0,OFFSET(ORÇAMENTO!R$15,$E47,0),IF($E48&lt;&gt;-1,OFFSET(QCI!$G$13,$E48,0),""))</f>
        <v>SINALIZAÇÃO</v>
      </c>
      <c r="J47" s="210"/>
      <c r="K47" s="210"/>
      <c r="L47" s="211">
        <f ca="1">IF($E48=0,OFFSET(ORÇAMENTO!C$15,$E47,0),1)</f>
        <v>2</v>
      </c>
      <c r="M47" s="212">
        <f ca="1">IF($E48=-1,0,IF(M$13&lt;=$L47,IF(ISERROR(MATCH(M$13,OFFSET($L47,1,0,ROW($L$68)-ROW($L47)-1),0)),ROW($L$68)-ROW($L47)-1,MATCH(M$13,OFFSET($L47,1,0,ROW($L$68)-ROW($L47)-1),0)-1),0))</f>
        <v>2</v>
      </c>
      <c r="N47" s="212">
        <f ca="1">IF($E48=-1,0,IF(N$13&lt;=$L47,IF(ISERROR(MATCH(N$13,OFFSET($L47,1,0,ROW($L$68)-ROW($L47)-1),0)),ROW($L$68)-ROW($L47)-1,MATCH(N$13,OFFSET($L47,1,0,ROW($L$68)-ROW($L47)-1),0)-1),0))</f>
        <v>5</v>
      </c>
      <c r="O47" s="212">
        <f ca="1">IF($E48=-1,0,IF(O$13&lt;=$L47,IF(ISERROR(MATCH(O$13,OFFSET($L47,1,0,ROW($L$68)-ROW($L47)-1),0)),ROW($L$68)-ROW($L47)-1,MATCH(O$13,OFFSET($L47,1,0,ROW($L$68)-ROW($L47)-1),0)-1),0))</f>
        <v>0</v>
      </c>
      <c r="P47" s="212">
        <f ca="1">IF($E48=-1,0,IF(P$13&lt;=$L47,IF(ISERROR(MATCH(P$13,OFFSET($L47,1,0,ROW($L$68)-ROW($L47)-1),0)),ROW($L$68)-ROW($L47)-1,MATCH(P$13,OFFSET($L47,1,0,ROW($L$68)-ROW($L47)-1),0)-1),0))</f>
        <v>0</v>
      </c>
      <c r="Q47" s="212">
        <f t="shared" ref="Q47" ca="1" si="82">MIN(OFFSET(L47,0,1,,L47))</f>
        <v>2</v>
      </c>
      <c r="R47" s="213">
        <f ca="1">IF($E48=0,OFFSET(ORÇAMENTO!X$15,$E47,0),IF($E48&lt;&gt;-1,OFFSET(QCI!$O$13,$E48,0),""))</f>
        <v>8585.59</v>
      </c>
      <c r="S47" s="214" t="s">
        <v>270</v>
      </c>
      <c r="T47" s="215">
        <f t="shared" ref="T47:AE47" ca="1" si="83">IF(AND($Q47=2,ACOMPANHAMENTO="BM"),T48,T49/$R47)</f>
        <v>0</v>
      </c>
      <c r="U47" s="207">
        <f t="shared" ca="1" si="83"/>
        <v>0</v>
      </c>
      <c r="V47" s="207">
        <f t="shared" ca="1" si="83"/>
        <v>0</v>
      </c>
      <c r="W47" s="207">
        <f t="shared" ca="1" si="83"/>
        <v>1</v>
      </c>
      <c r="X47" s="207">
        <f t="shared" ca="1" si="83"/>
        <v>0</v>
      </c>
      <c r="Y47" s="207">
        <f t="shared" ca="1" si="83"/>
        <v>0</v>
      </c>
      <c r="Z47" s="207">
        <f t="shared" ca="1" si="83"/>
        <v>0</v>
      </c>
      <c r="AA47" s="207">
        <f t="shared" ca="1" si="83"/>
        <v>0</v>
      </c>
      <c r="AB47" s="207">
        <f t="shared" ca="1" si="83"/>
        <v>0</v>
      </c>
      <c r="AC47" s="207">
        <f t="shared" ca="1" si="83"/>
        <v>0</v>
      </c>
      <c r="AD47" s="207">
        <f t="shared" ca="1" si="83"/>
        <v>0</v>
      </c>
      <c r="AE47" s="216">
        <f t="shared" ca="1" si="83"/>
        <v>0</v>
      </c>
    </row>
    <row r="48" spans="1:32" ht="12.75" customHeight="1" x14ac:dyDescent="0.2">
      <c r="D48" s="569"/>
      <c r="E48" s="204">
        <f ca="1">IF(ISERROR(E47),IF(1+COUNTIF($L$13:OFFSET(L47,-1,0),1)&lt;=MAX(QCI!$D$13:$D$24),1+COUNTIF($L$13:OFFSET(L47,-1,0),1),-1),0)</f>
        <v>0</v>
      </c>
      <c r="F48" s="204" t="str">
        <f t="shared" ref="F48" ca="1" si="84">IF(AND($E48&lt;&gt;-1,$R47&gt;0),"F","")</f>
        <v>F</v>
      </c>
      <c r="G48" s="217" t="str">
        <f ca="1">IF(OR(R47=0,R47=""),"vazia",IF(AND(OR(ACOMPANHAMENTO="PLE",$Q47&lt;&gt;2),$E48=0),"calculada","--&gt;"))</f>
        <v>--&gt;</v>
      </c>
      <c r="H48" s="218"/>
      <c r="I48" s="219" t="str">
        <f t="shared" ref="I48" ca="1" si="85">IF(AND(G47&lt;&gt;0,ISNUMBER(G47)),"PREENCHA ESTA LINHA --&gt;","")</f>
        <v/>
      </c>
      <c r="J48" s="219"/>
      <c r="K48" s="219"/>
      <c r="L48" s="220"/>
      <c r="M48" s="220"/>
      <c r="N48" s="220"/>
      <c r="O48" s="220"/>
      <c r="P48" s="220"/>
      <c r="Q48" s="220"/>
      <c r="R48" s="221"/>
      <c r="S48" s="222"/>
      <c r="T48" s="570"/>
      <c r="U48" s="569"/>
      <c r="V48" s="569"/>
      <c r="W48" s="569">
        <v>1</v>
      </c>
      <c r="X48" s="569"/>
      <c r="Y48" s="569"/>
      <c r="Z48" s="569"/>
      <c r="AA48" s="569"/>
      <c r="AB48" s="569"/>
      <c r="AC48" s="569"/>
      <c r="AD48" s="569"/>
      <c r="AE48" s="571"/>
      <c r="AF48" s="533"/>
    </row>
    <row r="49" spans="1:32" ht="0.2" hidden="1" customHeight="1" x14ac:dyDescent="0.2">
      <c r="D49" s="223">
        <f ca="1">IF($Q47=2,IF(AND(ACOMPANHAMENTO="PLE",ISNUMBER($E47)),SUMIF((OFFSET(CÁLCULO!$AM$15:$AW$15,$E47,0,OFFSET(ORÇAMENTO!$D$15,CRONO!$E47,0))),"="&amp;CRONO!D$12,OFFSET(CÁLCULO!$AB$15:$AL$15,$E47,0,OFFSET(ORÇAMENTO!$D$15,CRONO!$E47,0)))+IF(AND($E49&lt;&gt;"",$E49&lt;&gt;0),SUMIF(CÁLCULO!$AM$15:$AW$119,"="&amp;CRONO!D$12,CÁLCULO!$AB$15:$AL$119)/(ORÇAMENTO!$X$15-CÁLCULO.TotalAdmLocal)*CRONO!$E49,0),D48*$R47),SUMIF(OFFSET($R49,1,0,$Q47-2),($L47+1)&amp;"$",OFFSET(D49,1,0,$Q47-2)))</f>
        <v>0</v>
      </c>
      <c r="E49" s="204" t="str">
        <f ca="1">IF(OR($Q47&lt;&gt;2,AUTOEVENTO&lt;&gt;"manual",$E48&gt;0),"",SUMIF(OFFSET(CÁLCULO!$M$15,CRONO!$E47,0,OFFSET(ORÇAMENTO!$D$15,CRONO!$E47,0)),1,OFFSET(ORÇAMENTO!$X$15,CRONO!$E47,0,OFFSET(ORÇAMENTO!$D$15,CRONO!$E47,0))))</f>
        <v/>
      </c>
      <c r="G49" s="224"/>
      <c r="R49" s="225" t="str">
        <f t="shared" ref="R49" ca="1" si="86">L47&amp;"$"</f>
        <v>2$</v>
      </c>
      <c r="S49" s="226"/>
      <c r="T49" s="227">
        <f ca="1">IF($Q47=2,IF(AND(ACOMPANHAMENTO="PLE",ISNUMBER($E47)),SUMIF((OFFSET(CÁLCULO!$AM$15:$AW$15,$E47,0,OFFSET(ORÇAMENTO!$D$15,CRONO!$E47,0))),"&lt;="&amp;CRONO!T$12,OFFSET(CÁLCULO!$AB$15:$AL$15,$E47,0,OFFSET(ORÇAMENTO!$D$15,CRONO!$E47,0)))+IF(AND($E49&lt;&gt;"",$E49&lt;&gt;0),SUMIF(CÁLCULO!$AM$15:$AW$119,"&lt;="&amp;CRONO!T$12,CÁLCULO!$AB$15:$AL$119)/(ORÇAMENTO!$X$15-CÁLCULO.TotalAdmLocal)*CRONO!$E49,0),T48*$R47),SUMIF(OFFSET($R49,1,0,$Q47-2),($L47+1)&amp;"$",OFFSET(T49,1,0,$Q47-2)))</f>
        <v>0</v>
      </c>
      <c r="U49" s="223">
        <f ca="1">IF($Q47=2,IF(AND(ACOMPANHAMENTO="PLE",ISNUMBER($E47)),SUMIF((OFFSET(CÁLCULO!$AM$15:$AW$15,$E47,0,OFFSET(ORÇAMENTO!$D$15,CRONO!$E47,0))),"="&amp;CRONO!U$12,OFFSET(CÁLCULO!$AB$15:$AL$15,$E47,0,OFFSET(ORÇAMENTO!$D$15,CRONO!$E47,0)))+IF(AND($E49&lt;&gt;"",$E49&lt;&gt;0),SUMIF(CÁLCULO!$AM$15:$AW$119,"="&amp;CRONO!U$12,CÁLCULO!$AB$15:$AL$119)/(ORÇAMENTO!$X$15-CÁLCULO.TotalAdmLocal)*CRONO!$E49,0),U48*$R47),SUMIF(OFFSET($R49,1,0,$Q47-2),($L47+1)&amp;"$",OFFSET(U49,1,0,$Q47-2)))</f>
        <v>0</v>
      </c>
      <c r="V49" s="223">
        <f ca="1">IF($Q47=2,IF(AND(ACOMPANHAMENTO="PLE",ISNUMBER($E47)),SUMIF((OFFSET(CÁLCULO!$AM$15:$AW$15,$E47,0,OFFSET(ORÇAMENTO!$D$15,CRONO!$E47,0))),"="&amp;CRONO!V$12,OFFSET(CÁLCULO!$AB$15:$AL$15,$E47,0,OFFSET(ORÇAMENTO!$D$15,CRONO!$E47,0)))+IF(AND($E49&lt;&gt;"",$E49&lt;&gt;0),SUMIF(CÁLCULO!$AM$15:$AW$119,"="&amp;CRONO!V$12,CÁLCULO!$AB$15:$AL$119)/(ORÇAMENTO!$X$15-CÁLCULO.TotalAdmLocal)*CRONO!$E49,0),V48*$R47),SUMIF(OFFSET($R49,1,0,$Q47-2),($L47+1)&amp;"$",OFFSET(V49,1,0,$Q47-2)))</f>
        <v>0</v>
      </c>
      <c r="W49" s="223">
        <f ca="1">IF($Q47=2,IF(AND(ACOMPANHAMENTO="PLE",ISNUMBER($E47)),SUMIF((OFFSET(CÁLCULO!$AM$15:$AW$15,$E47,0,OFFSET(ORÇAMENTO!$D$15,CRONO!$E47,0))),"="&amp;CRONO!W$12,OFFSET(CÁLCULO!$AB$15:$AL$15,$E47,0,OFFSET(ORÇAMENTO!$D$15,CRONO!$E47,0)))+IF(AND($E49&lt;&gt;"",$E49&lt;&gt;0),SUMIF(CÁLCULO!$AM$15:$AW$119,"="&amp;CRONO!W$12,CÁLCULO!$AB$15:$AL$119)/(ORÇAMENTO!$X$15-CÁLCULO.TotalAdmLocal)*CRONO!$E49,0),W48*$R47),SUMIF(OFFSET($R49,1,0,$Q47-2),($L47+1)&amp;"$",OFFSET(W49,1,0,$Q47-2)))</f>
        <v>8585.59</v>
      </c>
      <c r="X49" s="223">
        <f ca="1">IF($Q47=2,IF(AND(ACOMPANHAMENTO="PLE",ISNUMBER($E47)),SUMIF((OFFSET(CÁLCULO!$AM$15:$AW$15,$E47,0,OFFSET(ORÇAMENTO!$D$15,CRONO!$E47,0))),"="&amp;CRONO!X$12,OFFSET(CÁLCULO!$AB$15:$AL$15,$E47,0,OFFSET(ORÇAMENTO!$D$15,CRONO!$E47,0)))+IF(AND($E49&lt;&gt;"",$E49&lt;&gt;0),SUMIF(CÁLCULO!$AM$15:$AW$119,"="&amp;CRONO!X$12,CÁLCULO!$AB$15:$AL$119)/(ORÇAMENTO!$X$15-CÁLCULO.TotalAdmLocal)*CRONO!$E49,0),X48*$R47),SUMIF(OFFSET($R49,1,0,$Q47-2),($L47+1)&amp;"$",OFFSET(X49,1,0,$Q47-2)))</f>
        <v>0</v>
      </c>
      <c r="Y49" s="223">
        <f ca="1">IF($Q47=2,IF(AND(ACOMPANHAMENTO="PLE",ISNUMBER($E47)),SUMIF((OFFSET(CÁLCULO!$AM$15:$AW$15,$E47,0,OFFSET(ORÇAMENTO!$D$15,CRONO!$E47,0))),"="&amp;CRONO!Y$12,OFFSET(CÁLCULO!$AB$15:$AL$15,$E47,0,OFFSET(ORÇAMENTO!$D$15,CRONO!$E47,0)))+IF(AND($E49&lt;&gt;"",$E49&lt;&gt;0),SUMIF(CÁLCULO!$AM$15:$AW$119,"="&amp;CRONO!Y$12,CÁLCULO!$AB$15:$AL$119)/(ORÇAMENTO!$X$15-CÁLCULO.TotalAdmLocal)*CRONO!$E49,0),Y48*$R47),SUMIF(OFFSET($R49,1,0,$Q47-2),($L47+1)&amp;"$",OFFSET(Y49,1,0,$Q47-2)))</f>
        <v>0</v>
      </c>
      <c r="Z49" s="223">
        <f ca="1">IF($Q47=2,IF(AND(ACOMPANHAMENTO="PLE",ISNUMBER($E47)),SUMIF((OFFSET(CÁLCULO!$AM$15:$AW$15,$E47,0,OFFSET(ORÇAMENTO!$D$15,CRONO!$E47,0))),"="&amp;CRONO!Z$12,OFFSET(CÁLCULO!$AB$15:$AL$15,$E47,0,OFFSET(ORÇAMENTO!$D$15,CRONO!$E47,0)))+IF(AND($E49&lt;&gt;"",$E49&lt;&gt;0),SUMIF(CÁLCULO!$AM$15:$AW$119,"="&amp;CRONO!Z$12,CÁLCULO!$AB$15:$AL$119)/(ORÇAMENTO!$X$15-CÁLCULO.TotalAdmLocal)*CRONO!$E49,0),Z48*$R47),SUMIF(OFFSET($R49,1,0,$Q47-2),($L47+1)&amp;"$",OFFSET(Z49,1,0,$Q47-2)))</f>
        <v>0</v>
      </c>
      <c r="AA49" s="223">
        <f ca="1">IF($Q47=2,IF(AND(ACOMPANHAMENTO="PLE",ISNUMBER($E47)),SUMIF((OFFSET(CÁLCULO!$AM$15:$AW$15,$E47,0,OFFSET(ORÇAMENTO!$D$15,CRONO!$E47,0))),"="&amp;CRONO!AA$12,OFFSET(CÁLCULO!$AB$15:$AL$15,$E47,0,OFFSET(ORÇAMENTO!$D$15,CRONO!$E47,0)))+IF(AND($E49&lt;&gt;"",$E49&lt;&gt;0),SUMIF(CÁLCULO!$AM$15:$AW$119,"="&amp;CRONO!AA$12,CÁLCULO!$AB$15:$AL$119)/(ORÇAMENTO!$X$15-CÁLCULO.TotalAdmLocal)*CRONO!$E49,0),AA48*$R47),SUMIF(OFFSET($R49,1,0,$Q47-2),($L47+1)&amp;"$",OFFSET(AA49,1,0,$Q47-2)))</f>
        <v>0</v>
      </c>
      <c r="AB49" s="223">
        <f ca="1">IF($Q47=2,IF(AND(ACOMPANHAMENTO="PLE",ISNUMBER($E47)),SUMIF((OFFSET(CÁLCULO!$AM$15:$AW$15,$E47,0,OFFSET(ORÇAMENTO!$D$15,CRONO!$E47,0))),"="&amp;CRONO!AB$12,OFFSET(CÁLCULO!$AB$15:$AL$15,$E47,0,OFFSET(ORÇAMENTO!$D$15,CRONO!$E47,0)))+IF(AND($E49&lt;&gt;"",$E49&lt;&gt;0),SUMIF(CÁLCULO!$AM$15:$AW$119,"="&amp;CRONO!AB$12,CÁLCULO!$AB$15:$AL$119)/(ORÇAMENTO!$X$15-CÁLCULO.TotalAdmLocal)*CRONO!$E49,0),AB48*$R47),SUMIF(OFFSET($R49,1,0,$Q47-2),($L47+1)&amp;"$",OFFSET(AB49,1,0,$Q47-2)))</f>
        <v>0</v>
      </c>
      <c r="AC49" s="223">
        <f ca="1">IF($Q47=2,IF(AND(ACOMPANHAMENTO="PLE",ISNUMBER($E47)),SUMIF((OFFSET(CÁLCULO!$AM$15:$AW$15,$E47,0,OFFSET(ORÇAMENTO!$D$15,CRONO!$E47,0))),"="&amp;CRONO!AC$12,OFFSET(CÁLCULO!$AB$15:$AL$15,$E47,0,OFFSET(ORÇAMENTO!$D$15,CRONO!$E47,0)))+IF(AND($E49&lt;&gt;"",$E49&lt;&gt;0),SUMIF(CÁLCULO!$AM$15:$AW$119,"="&amp;CRONO!AC$12,CÁLCULO!$AB$15:$AL$119)/(ORÇAMENTO!$X$15-CÁLCULO.TotalAdmLocal)*CRONO!$E49,0),AC48*$R47),SUMIF(OFFSET($R49,1,0,$Q47-2),($L47+1)&amp;"$",OFFSET(AC49,1,0,$Q47-2)))</f>
        <v>0</v>
      </c>
      <c r="AD49" s="223">
        <f ca="1">IF($Q47=2,IF(AND(ACOMPANHAMENTO="PLE",ISNUMBER($E47)),SUMIF((OFFSET(CÁLCULO!$AM$15:$AW$15,$E47,0,OFFSET(ORÇAMENTO!$D$15,CRONO!$E47,0))),"="&amp;CRONO!AD$12,OFFSET(CÁLCULO!$AB$15:$AL$15,$E47,0,OFFSET(ORÇAMENTO!$D$15,CRONO!$E47,0)))+IF(AND($E49&lt;&gt;"",$E49&lt;&gt;0),SUMIF(CÁLCULO!$AM$15:$AW$119,"="&amp;CRONO!AD$12,CÁLCULO!$AB$15:$AL$119)/(ORÇAMENTO!$X$15-CÁLCULO.TotalAdmLocal)*CRONO!$E49,0),AD48*$R47),SUMIF(OFFSET($R49,1,0,$Q47-2),($L47+1)&amp;"$",OFFSET(AD49,1,0,$Q47-2)))</f>
        <v>0</v>
      </c>
      <c r="AE49" s="228">
        <f ca="1">IF($Q47=2,IF(AND(ACOMPANHAMENTO="PLE",ISNUMBER($E47)),SUMIF((OFFSET(CÁLCULO!$AM$15:$AW$15,$E47,0,OFFSET(ORÇAMENTO!$D$15,CRONO!$E47,0))),"="&amp;CRONO!AE$12,OFFSET(CÁLCULO!$AB$15:$AL$15,$E47,0,OFFSET(ORÇAMENTO!$D$15,CRONO!$E47,0)))+IF(AND($E49&lt;&gt;"",$E49&lt;&gt;0),SUMIF(CÁLCULO!$AM$15:$AW$119,"="&amp;CRONO!AE$12,CÁLCULO!$AB$15:$AL$119)/(ORÇAMENTO!$X$15-CÁLCULO.TotalAdmLocal)*CRONO!$E49,0),AE48*$R47),SUMIF(OFFSET($R49,1,0,$Q47-2),($L47+1)&amp;"$",OFFSET(AE49,1,0,$Q47-2)))</f>
        <v>0</v>
      </c>
    </row>
    <row r="50" spans="1:32" x14ac:dyDescent="0.2">
      <c r="A50" s="204">
        <f t="shared" ref="A50" ca="1" si="87">OFFSET(A50,-3,0)+1</f>
        <v>13</v>
      </c>
      <c r="B50" s="204">
        <f ca="1">IF($Q50&lt;&gt;2,0,IF($R50=0,1,IF(E51&gt;0,OFFSET(QCI!$M$13,SUBSTITUTE(E51,".",""),0),OFFSET(ORÇAMENTO!$AA$15,CRONO!$E50,0))/$R50))</f>
        <v>0</v>
      </c>
      <c r="C50" s="204">
        <f ca="1">IF($Q50&lt;&gt;2,0,IF($R50=0,1,IF(E51&gt;0,OFFSET(QCI!$N$13,SUBSTITUTE(E51,".",""),0),OFFSET(ORÇAMENTO!$AB$15,CRONO!$E50,0))/$R50))</f>
        <v>0</v>
      </c>
      <c r="D50" s="207">
        <f ca="1">IF(AND($Q50=2,ACOMPANHAMENTO="BM"),D51,D52/$R50)</f>
        <v>0</v>
      </c>
      <c r="E50" s="204">
        <f ca="1">IF(A50&lt;=ORÇAMENTO.MáximoListaCrono,MATCH(A50,ORÇAMENTO.ListaCrono,0),NA())</f>
        <v>72</v>
      </c>
      <c r="F50" s="204" t="str">
        <f t="shared" ref="F50" ca="1" si="88">IF(AND($E51&lt;&gt;-1,$R50&gt;0),"F","")</f>
        <v>F</v>
      </c>
      <c r="G50" s="208" t="str">
        <f ca="1">IF(OR(R50=0,R50=""),"Linha",IF(AND(OR(ACOMPANHAMENTO="PLE",$Q50&lt;&gt;2),$E51=0),"Linha",1-SUM(T50:AF50)))</f>
        <v>Linha</v>
      </c>
      <c r="H50" s="209" t="str">
        <f ca="1">IF($E51=0,OFFSET(ORÇAMENTO!O$15,$E50,0),IF($E51&lt;&gt;-1,OFFSET(QCI!$D$13,$E51,0),""))</f>
        <v>3.</v>
      </c>
      <c r="I50" s="210" t="str">
        <f ca="1">IF($E51=0,OFFSET(ORÇAMENTO!R$15,$E50,0),IF($E51&lt;&gt;-1,OFFSET(QCI!$G$13,$E51,0),""))</f>
        <v>TRECHO 03 - Rua Presidente Castelo Branco</v>
      </c>
      <c r="J50" s="210"/>
      <c r="K50" s="210"/>
      <c r="L50" s="211">
        <f ca="1">IF($E51=0,OFFSET(ORÇAMENTO!C$15,$E50,0),1)</f>
        <v>1</v>
      </c>
      <c r="M50" s="212">
        <f ca="1">IF($E51=-1,0,IF(M$13&lt;=$L50,IF(ISERROR(MATCH(M$13,OFFSET($L50,1,0,ROW($L$68)-ROW($L50)-1),0)),ROW($L$68)-ROW($L50)-1,MATCH(M$13,OFFSET($L50,1,0,ROW($L$68)-ROW($L50)-1),0)-1),0))</f>
        <v>17</v>
      </c>
      <c r="N50" s="212">
        <f ca="1">IF($E51=-1,0,IF(N$13&lt;=$L50,IF(ISERROR(MATCH(N$13,OFFSET($L50,1,0,ROW($L$68)-ROW($L50)-1),0)),ROW($L$68)-ROW($L50)-1,MATCH(N$13,OFFSET($L50,1,0,ROW($L$68)-ROW($L50)-1),0)-1),0))</f>
        <v>0</v>
      </c>
      <c r="O50" s="212">
        <f ca="1">IF($E51=-1,0,IF(O$13&lt;=$L50,IF(ISERROR(MATCH(O$13,OFFSET($L50,1,0,ROW($L$68)-ROW($L50)-1),0)),ROW($L$68)-ROW($L50)-1,MATCH(O$13,OFFSET($L50,1,0,ROW($L$68)-ROW($L50)-1),0)-1),0))</f>
        <v>0</v>
      </c>
      <c r="P50" s="212">
        <f ca="1">IF($E51=-1,0,IF(P$13&lt;=$L50,IF(ISERROR(MATCH(P$13,OFFSET($L50,1,0,ROW($L$68)-ROW($L50)-1),0)),ROW($L$68)-ROW($L50)-1,MATCH(P$13,OFFSET($L50,1,0,ROW($L$68)-ROW($L50)-1),0)-1),0))</f>
        <v>0</v>
      </c>
      <c r="Q50" s="212">
        <f t="shared" ref="Q50" ca="1" si="89">MIN(OFFSET(L50,0,1,,L50))</f>
        <v>17</v>
      </c>
      <c r="R50" s="213">
        <f ca="1">IF($E51=0,OFFSET(ORÇAMENTO!X$15,$E50,0),IF($E51&lt;&gt;-1,OFFSET(QCI!$O$13,$E51,0),""))</f>
        <v>374186.44</v>
      </c>
      <c r="S50" s="214" t="s">
        <v>270</v>
      </c>
      <c r="T50" s="215">
        <f t="shared" ref="T50:AE50" ca="1" si="90">IF(AND($Q50=2,ACOMPANHAMENTO="BM"),T51,T52/$R50)</f>
        <v>0</v>
      </c>
      <c r="U50" s="207">
        <f t="shared" ca="1" si="90"/>
        <v>0.18059818522552551</v>
      </c>
      <c r="V50" s="207">
        <f t="shared" ca="1" si="90"/>
        <v>7.0741040215139814E-2</v>
      </c>
      <c r="W50" s="207">
        <f t="shared" ca="1" si="90"/>
        <v>0.74866077455933455</v>
      </c>
      <c r="X50" s="207">
        <f t="shared" ca="1" si="90"/>
        <v>0</v>
      </c>
      <c r="Y50" s="207">
        <f t="shared" ca="1" si="90"/>
        <v>0</v>
      </c>
      <c r="Z50" s="207">
        <f t="shared" ca="1" si="90"/>
        <v>0</v>
      </c>
      <c r="AA50" s="207">
        <f t="shared" ca="1" si="90"/>
        <v>0</v>
      </c>
      <c r="AB50" s="207">
        <f t="shared" ca="1" si="90"/>
        <v>0</v>
      </c>
      <c r="AC50" s="207">
        <f t="shared" ca="1" si="90"/>
        <v>0</v>
      </c>
      <c r="AD50" s="207">
        <f t="shared" ca="1" si="90"/>
        <v>0</v>
      </c>
      <c r="AE50" s="216">
        <f t="shared" ca="1" si="90"/>
        <v>0</v>
      </c>
    </row>
    <row r="51" spans="1:32" ht="12.75" customHeight="1" x14ac:dyDescent="0.2">
      <c r="D51" s="569"/>
      <c r="E51" s="204">
        <f ca="1">IF(ISERROR(E50),IF(1+COUNTIF($L$13:OFFSET(L50,-1,0),1)&lt;=MAX(QCI!$D$13:$D$24),1+COUNTIF($L$13:OFFSET(L50,-1,0),1),-1),0)</f>
        <v>0</v>
      </c>
      <c r="F51" s="204" t="str">
        <f t="shared" ref="F51" ca="1" si="91">IF(AND($E51&lt;&gt;-1,$R50&gt;0),"F","")</f>
        <v>F</v>
      </c>
      <c r="G51" s="217" t="str">
        <f ca="1">IF(OR(R50=0,R50=""),"vazia",IF(AND(OR(ACOMPANHAMENTO="PLE",$Q50&lt;&gt;2),$E51=0),"calculada","--&gt;"))</f>
        <v>calculada</v>
      </c>
      <c r="H51" s="218"/>
      <c r="I51" s="219" t="str">
        <f t="shared" ref="I51" ca="1" si="92">IF(AND(G50&lt;&gt;0,ISNUMBER(G50)),"PREENCHA ESTA LINHA --&gt;","")</f>
        <v/>
      </c>
      <c r="J51" s="219"/>
      <c r="K51" s="219"/>
      <c r="L51" s="220"/>
      <c r="M51" s="220"/>
      <c r="N51" s="220"/>
      <c r="O51" s="220"/>
      <c r="P51" s="220"/>
      <c r="Q51" s="220"/>
      <c r="R51" s="221"/>
      <c r="S51" s="222"/>
      <c r="T51" s="570"/>
      <c r="U51" s="569"/>
      <c r="V51" s="569"/>
      <c r="W51" s="569"/>
      <c r="X51" s="569"/>
      <c r="Y51" s="569"/>
      <c r="Z51" s="569"/>
      <c r="AA51" s="569"/>
      <c r="AB51" s="569"/>
      <c r="AC51" s="569"/>
      <c r="AD51" s="569"/>
      <c r="AE51" s="571"/>
      <c r="AF51" s="533"/>
    </row>
    <row r="52" spans="1:32" ht="0.2" hidden="1" customHeight="1" x14ac:dyDescent="0.2">
      <c r="D52" s="223">
        <f ca="1">IF($Q50=2,IF(AND(ACOMPANHAMENTO="PLE",ISNUMBER($E50)),SUMIF((OFFSET(CÁLCULO!$AM$15:$AW$15,$E50,0,OFFSET(ORÇAMENTO!$D$15,CRONO!$E50,0))),"="&amp;CRONO!D$12,OFFSET(CÁLCULO!$AB$15:$AL$15,$E50,0,OFFSET(ORÇAMENTO!$D$15,CRONO!$E50,0)))+IF(AND($E52&lt;&gt;"",$E52&lt;&gt;0),SUMIF(CÁLCULO!$AM$15:$AW$119,"="&amp;CRONO!D$12,CÁLCULO!$AB$15:$AL$119)/(ORÇAMENTO!$X$15-CÁLCULO.TotalAdmLocal)*CRONO!$E52,0),D51*$R50),SUMIF(OFFSET($R52,1,0,$Q50-2),($L50+1)&amp;"$",OFFSET(D52,1,0,$Q50-2)))</f>
        <v>0</v>
      </c>
      <c r="E52" s="204" t="str">
        <f ca="1">IF(OR($Q50&lt;&gt;2,AUTOEVENTO&lt;&gt;"manual",$E51&gt;0),"",SUMIF(OFFSET(CÁLCULO!$M$15,CRONO!$E50,0,OFFSET(ORÇAMENTO!$D$15,CRONO!$E50,0)),1,OFFSET(ORÇAMENTO!$X$15,CRONO!$E50,0,OFFSET(ORÇAMENTO!$D$15,CRONO!$E50,0))))</f>
        <v/>
      </c>
      <c r="G52" s="224"/>
      <c r="R52" s="225" t="str">
        <f t="shared" ref="R52" ca="1" si="93">L50&amp;"$"</f>
        <v>1$</v>
      </c>
      <c r="S52" s="226"/>
      <c r="T52" s="227">
        <f ca="1">IF($Q50=2,IF(AND(ACOMPANHAMENTO="PLE",ISNUMBER($E50)),SUMIF((OFFSET(CÁLCULO!$AM$15:$AW$15,$E50,0,OFFSET(ORÇAMENTO!$D$15,CRONO!$E50,0))),"&lt;="&amp;CRONO!T$12,OFFSET(CÁLCULO!$AB$15:$AL$15,$E50,0,OFFSET(ORÇAMENTO!$D$15,CRONO!$E50,0)))+IF(AND($E52&lt;&gt;"",$E52&lt;&gt;0),SUMIF(CÁLCULO!$AM$15:$AW$119,"&lt;="&amp;CRONO!T$12,CÁLCULO!$AB$15:$AL$119)/(ORÇAMENTO!$X$15-CÁLCULO.TotalAdmLocal)*CRONO!$E52,0),T51*$R50),SUMIF(OFFSET($R52,1,0,$Q50-2),($L50+1)&amp;"$",OFFSET(T52,1,0,$Q50-2)))</f>
        <v>0</v>
      </c>
      <c r="U52" s="223">
        <f ca="1">IF($Q50=2,IF(AND(ACOMPANHAMENTO="PLE",ISNUMBER($E50)),SUMIF((OFFSET(CÁLCULO!$AM$15:$AW$15,$E50,0,OFFSET(ORÇAMENTO!$D$15,CRONO!$E50,0))),"="&amp;CRONO!U$12,OFFSET(CÁLCULO!$AB$15:$AL$15,$E50,0,OFFSET(ORÇAMENTO!$D$15,CRONO!$E50,0)))+IF(AND($E52&lt;&gt;"",$E52&lt;&gt;0),SUMIF(CÁLCULO!$AM$15:$AW$119,"="&amp;CRONO!U$12,CÁLCULO!$AB$15:$AL$119)/(ORÇAMENTO!$X$15-CÁLCULO.TotalAdmLocal)*CRONO!$E52,0),U51*$R50),SUMIF(OFFSET($R52,1,0,$Q50-2),($L50+1)&amp;"$",OFFSET(U52,1,0,$Q50-2)))</f>
        <v>67577.391999999993</v>
      </c>
      <c r="V52" s="223">
        <f ca="1">IF($Q50=2,IF(AND(ACOMPANHAMENTO="PLE",ISNUMBER($E50)),SUMIF((OFFSET(CÁLCULO!$AM$15:$AW$15,$E50,0,OFFSET(ORÇAMENTO!$D$15,CRONO!$E50,0))),"="&amp;CRONO!V$12,OFFSET(CÁLCULO!$AB$15:$AL$15,$E50,0,OFFSET(ORÇAMENTO!$D$15,CRONO!$E50,0)))+IF(AND($E52&lt;&gt;"",$E52&lt;&gt;0),SUMIF(CÁLCULO!$AM$15:$AW$119,"="&amp;CRONO!V$12,CÁLCULO!$AB$15:$AL$119)/(ORÇAMENTO!$X$15-CÁLCULO.TotalAdmLocal)*CRONO!$E52,0),V51*$R50),SUMIF(OFFSET($R52,1,0,$Q50-2),($L50+1)&amp;"$",OFFSET(V52,1,0,$Q50-2)))</f>
        <v>26470.338</v>
      </c>
      <c r="W52" s="223">
        <f ca="1">IF($Q50=2,IF(AND(ACOMPANHAMENTO="PLE",ISNUMBER($E50)),SUMIF((OFFSET(CÁLCULO!$AM$15:$AW$15,$E50,0,OFFSET(ORÇAMENTO!$D$15,CRONO!$E50,0))),"="&amp;CRONO!W$12,OFFSET(CÁLCULO!$AB$15:$AL$15,$E50,0,OFFSET(ORÇAMENTO!$D$15,CRONO!$E50,0)))+IF(AND($E52&lt;&gt;"",$E52&lt;&gt;0),SUMIF(CÁLCULO!$AM$15:$AW$119,"="&amp;CRONO!W$12,CÁLCULO!$AB$15:$AL$119)/(ORÇAMENTO!$X$15-CÁLCULO.TotalAdmLocal)*CRONO!$E52,0),W51*$R50),SUMIF(OFFSET($R52,1,0,$Q50-2),($L50+1)&amp;"$",OFFSET(W52,1,0,$Q50-2)))</f>
        <v>280138.70999999996</v>
      </c>
      <c r="X52" s="223">
        <f ca="1">IF($Q50=2,IF(AND(ACOMPANHAMENTO="PLE",ISNUMBER($E50)),SUMIF((OFFSET(CÁLCULO!$AM$15:$AW$15,$E50,0,OFFSET(ORÇAMENTO!$D$15,CRONO!$E50,0))),"="&amp;CRONO!X$12,OFFSET(CÁLCULO!$AB$15:$AL$15,$E50,0,OFFSET(ORÇAMENTO!$D$15,CRONO!$E50,0)))+IF(AND($E52&lt;&gt;"",$E52&lt;&gt;0),SUMIF(CÁLCULO!$AM$15:$AW$119,"="&amp;CRONO!X$12,CÁLCULO!$AB$15:$AL$119)/(ORÇAMENTO!$X$15-CÁLCULO.TotalAdmLocal)*CRONO!$E52,0),X51*$R50),SUMIF(OFFSET($R52,1,0,$Q50-2),($L50+1)&amp;"$",OFFSET(X52,1,0,$Q50-2)))</f>
        <v>0</v>
      </c>
      <c r="Y52" s="223">
        <f ca="1">IF($Q50=2,IF(AND(ACOMPANHAMENTO="PLE",ISNUMBER($E50)),SUMIF((OFFSET(CÁLCULO!$AM$15:$AW$15,$E50,0,OFFSET(ORÇAMENTO!$D$15,CRONO!$E50,0))),"="&amp;CRONO!Y$12,OFFSET(CÁLCULO!$AB$15:$AL$15,$E50,0,OFFSET(ORÇAMENTO!$D$15,CRONO!$E50,0)))+IF(AND($E52&lt;&gt;"",$E52&lt;&gt;0),SUMIF(CÁLCULO!$AM$15:$AW$119,"="&amp;CRONO!Y$12,CÁLCULO!$AB$15:$AL$119)/(ORÇAMENTO!$X$15-CÁLCULO.TotalAdmLocal)*CRONO!$E52,0),Y51*$R50),SUMIF(OFFSET($R52,1,0,$Q50-2),($L50+1)&amp;"$",OFFSET(Y52,1,0,$Q50-2)))</f>
        <v>0</v>
      </c>
      <c r="Z52" s="223">
        <f ca="1">IF($Q50=2,IF(AND(ACOMPANHAMENTO="PLE",ISNUMBER($E50)),SUMIF((OFFSET(CÁLCULO!$AM$15:$AW$15,$E50,0,OFFSET(ORÇAMENTO!$D$15,CRONO!$E50,0))),"="&amp;CRONO!Z$12,OFFSET(CÁLCULO!$AB$15:$AL$15,$E50,0,OFFSET(ORÇAMENTO!$D$15,CRONO!$E50,0)))+IF(AND($E52&lt;&gt;"",$E52&lt;&gt;0),SUMIF(CÁLCULO!$AM$15:$AW$119,"="&amp;CRONO!Z$12,CÁLCULO!$AB$15:$AL$119)/(ORÇAMENTO!$X$15-CÁLCULO.TotalAdmLocal)*CRONO!$E52,0),Z51*$R50),SUMIF(OFFSET($R52,1,0,$Q50-2),($L50+1)&amp;"$",OFFSET(Z52,1,0,$Q50-2)))</f>
        <v>0</v>
      </c>
      <c r="AA52" s="223">
        <f ca="1">IF($Q50=2,IF(AND(ACOMPANHAMENTO="PLE",ISNUMBER($E50)),SUMIF((OFFSET(CÁLCULO!$AM$15:$AW$15,$E50,0,OFFSET(ORÇAMENTO!$D$15,CRONO!$E50,0))),"="&amp;CRONO!AA$12,OFFSET(CÁLCULO!$AB$15:$AL$15,$E50,0,OFFSET(ORÇAMENTO!$D$15,CRONO!$E50,0)))+IF(AND($E52&lt;&gt;"",$E52&lt;&gt;0),SUMIF(CÁLCULO!$AM$15:$AW$119,"="&amp;CRONO!AA$12,CÁLCULO!$AB$15:$AL$119)/(ORÇAMENTO!$X$15-CÁLCULO.TotalAdmLocal)*CRONO!$E52,0),AA51*$R50),SUMIF(OFFSET($R52,1,0,$Q50-2),($L50+1)&amp;"$",OFFSET(AA52,1,0,$Q50-2)))</f>
        <v>0</v>
      </c>
      <c r="AB52" s="223">
        <f ca="1">IF($Q50=2,IF(AND(ACOMPANHAMENTO="PLE",ISNUMBER($E50)),SUMIF((OFFSET(CÁLCULO!$AM$15:$AW$15,$E50,0,OFFSET(ORÇAMENTO!$D$15,CRONO!$E50,0))),"="&amp;CRONO!AB$12,OFFSET(CÁLCULO!$AB$15:$AL$15,$E50,0,OFFSET(ORÇAMENTO!$D$15,CRONO!$E50,0)))+IF(AND($E52&lt;&gt;"",$E52&lt;&gt;0),SUMIF(CÁLCULO!$AM$15:$AW$119,"="&amp;CRONO!AB$12,CÁLCULO!$AB$15:$AL$119)/(ORÇAMENTO!$X$15-CÁLCULO.TotalAdmLocal)*CRONO!$E52,0),AB51*$R50),SUMIF(OFFSET($R52,1,0,$Q50-2),($L50+1)&amp;"$",OFFSET(AB52,1,0,$Q50-2)))</f>
        <v>0</v>
      </c>
      <c r="AC52" s="223">
        <f ca="1">IF($Q50=2,IF(AND(ACOMPANHAMENTO="PLE",ISNUMBER($E50)),SUMIF((OFFSET(CÁLCULO!$AM$15:$AW$15,$E50,0,OFFSET(ORÇAMENTO!$D$15,CRONO!$E50,0))),"="&amp;CRONO!AC$12,OFFSET(CÁLCULO!$AB$15:$AL$15,$E50,0,OFFSET(ORÇAMENTO!$D$15,CRONO!$E50,0)))+IF(AND($E52&lt;&gt;"",$E52&lt;&gt;0),SUMIF(CÁLCULO!$AM$15:$AW$119,"="&amp;CRONO!AC$12,CÁLCULO!$AB$15:$AL$119)/(ORÇAMENTO!$X$15-CÁLCULO.TotalAdmLocal)*CRONO!$E52,0),AC51*$R50),SUMIF(OFFSET($R52,1,0,$Q50-2),($L50+1)&amp;"$",OFFSET(AC52,1,0,$Q50-2)))</f>
        <v>0</v>
      </c>
      <c r="AD52" s="223">
        <f ca="1">IF($Q50=2,IF(AND(ACOMPANHAMENTO="PLE",ISNUMBER($E50)),SUMIF((OFFSET(CÁLCULO!$AM$15:$AW$15,$E50,0,OFFSET(ORÇAMENTO!$D$15,CRONO!$E50,0))),"="&amp;CRONO!AD$12,OFFSET(CÁLCULO!$AB$15:$AL$15,$E50,0,OFFSET(ORÇAMENTO!$D$15,CRONO!$E50,0)))+IF(AND($E52&lt;&gt;"",$E52&lt;&gt;0),SUMIF(CÁLCULO!$AM$15:$AW$119,"="&amp;CRONO!AD$12,CÁLCULO!$AB$15:$AL$119)/(ORÇAMENTO!$X$15-CÁLCULO.TotalAdmLocal)*CRONO!$E52,0),AD51*$R50),SUMIF(OFFSET($R52,1,0,$Q50-2),($L50+1)&amp;"$",OFFSET(AD52,1,0,$Q50-2)))</f>
        <v>0</v>
      </c>
      <c r="AE52" s="228">
        <f ca="1">IF($Q50=2,IF(AND(ACOMPANHAMENTO="PLE",ISNUMBER($E50)),SUMIF((OFFSET(CÁLCULO!$AM$15:$AW$15,$E50,0,OFFSET(ORÇAMENTO!$D$15,CRONO!$E50,0))),"="&amp;CRONO!AE$12,OFFSET(CÁLCULO!$AB$15:$AL$15,$E50,0,OFFSET(ORÇAMENTO!$D$15,CRONO!$E50,0)))+IF(AND($E52&lt;&gt;"",$E52&lt;&gt;0),SUMIF(CÁLCULO!$AM$15:$AW$119,"="&amp;CRONO!AE$12,CÁLCULO!$AB$15:$AL$119)/(ORÇAMENTO!$X$15-CÁLCULO.TotalAdmLocal)*CRONO!$E52,0),AE51*$R50),SUMIF(OFFSET($R52,1,0,$Q50-2),($L50+1)&amp;"$",OFFSET(AE52,1,0,$Q50-2)))</f>
        <v>0</v>
      </c>
    </row>
    <row r="53" spans="1:32" x14ac:dyDescent="0.2">
      <c r="A53" s="204">
        <f t="shared" ref="A53" ca="1" si="94">OFFSET(A53,-3,0)+1</f>
        <v>14</v>
      </c>
      <c r="B53" s="204">
        <f ca="1">IF($Q53&lt;&gt;2,0,IF($R53=0,1,IF(E54&gt;0,OFFSET(QCI!$M$13,SUBSTITUTE(E54,".",""),0),OFFSET(ORÇAMENTO!$AA$15,CRONO!$E53,0))/$R53))</f>
        <v>1</v>
      </c>
      <c r="C53" s="204">
        <f ca="1">IF($Q53&lt;&gt;2,0,IF($R53=0,1,IF(E54&gt;0,OFFSET(QCI!$N$13,SUBSTITUTE(E54,".",""),0),OFFSET(ORÇAMENTO!$AB$15,CRONO!$E53,0))/$R53))</f>
        <v>0</v>
      </c>
      <c r="D53" s="207">
        <f ca="1">IF(AND($Q53=2,ACOMPANHAMENTO="BM"),D54,D55/$R53)</f>
        <v>0</v>
      </c>
      <c r="E53" s="204">
        <f ca="1">IF(A53&lt;=ORÇAMENTO.MáximoListaCrono,MATCH(A53,ORÇAMENTO.ListaCrono,0),NA())</f>
        <v>73</v>
      </c>
      <c r="F53" s="204" t="str">
        <f t="shared" ref="F53" ca="1" si="95">IF(AND($E54&lt;&gt;-1,$R53&gt;0),"F","")</f>
        <v>F</v>
      </c>
      <c r="G53" s="208">
        <f ca="1">IF(OR(R53=0,R53=""),"Linha",IF(AND(OR(ACOMPANHAMENTO="PLE",$Q53&lt;&gt;2),$E54=0),"Linha",1-SUM(T53:AF53)))</f>
        <v>0</v>
      </c>
      <c r="H53" s="209" t="str">
        <f ca="1">IF($E54=0,OFFSET(ORÇAMENTO!O$15,$E53,0),IF($E54&lt;&gt;-1,OFFSET(QCI!$D$13,$E54,0),""))</f>
        <v>3.1.</v>
      </c>
      <c r="I53" s="210" t="str">
        <f ca="1">IF($E54=0,OFFSET(ORÇAMENTO!R$15,$E53,0),IF($E54&lt;&gt;-1,OFFSET(QCI!$G$13,$E54,0),""))</f>
        <v xml:space="preserve">SERVIÇOS INICIAIS </v>
      </c>
      <c r="J53" s="210"/>
      <c r="K53" s="210"/>
      <c r="L53" s="211">
        <f ca="1">IF($E54=0,OFFSET(ORÇAMENTO!C$15,$E53,0),1)</f>
        <v>2</v>
      </c>
      <c r="M53" s="212">
        <f ca="1">IF($E54=-1,0,IF(M$13&lt;=$L53,IF(ISERROR(MATCH(M$13,OFFSET($L53,1,0,ROW($L$68)-ROW($L53)-1),0)),ROW($L$68)-ROW($L53)-1,MATCH(M$13,OFFSET($L53,1,0,ROW($L$68)-ROW($L53)-1),0)-1),0))</f>
        <v>14</v>
      </c>
      <c r="N53" s="212">
        <f ca="1">IF($E54=-1,0,IF(N$13&lt;=$L53,IF(ISERROR(MATCH(N$13,OFFSET($L53,1,0,ROW($L$68)-ROW($L53)-1),0)),ROW($L$68)-ROW($L53)-1,MATCH(N$13,OFFSET($L53,1,0,ROW($L$68)-ROW($L53)-1),0)-1),0))</f>
        <v>2</v>
      </c>
      <c r="O53" s="212">
        <f ca="1">IF($E54=-1,0,IF(O$13&lt;=$L53,IF(ISERROR(MATCH(O$13,OFFSET($L53,1,0,ROW($L$68)-ROW($L53)-1),0)),ROW($L$68)-ROW($L53)-1,MATCH(O$13,OFFSET($L53,1,0,ROW($L$68)-ROW($L53)-1),0)-1),0))</f>
        <v>0</v>
      </c>
      <c r="P53" s="212">
        <f ca="1">IF($E54=-1,0,IF(P$13&lt;=$L53,IF(ISERROR(MATCH(P$13,OFFSET($L53,1,0,ROW($L$68)-ROW($L53)-1),0)),ROW($L$68)-ROW($L53)-1,MATCH(P$13,OFFSET($L53,1,0,ROW($L$68)-ROW($L53)-1),0)-1),0))</f>
        <v>0</v>
      </c>
      <c r="Q53" s="212">
        <f t="shared" ref="Q53" ca="1" si="96">MIN(OFFSET(L53,0,1,,L53))</f>
        <v>2</v>
      </c>
      <c r="R53" s="213">
        <f ca="1">IF($E54=0,OFFSET(ORÇAMENTO!X$15,$E53,0),IF($E54&lt;&gt;-1,OFFSET(QCI!$O$13,$E54,0),""))</f>
        <v>8049.5</v>
      </c>
      <c r="S53" s="214" t="s">
        <v>270</v>
      </c>
      <c r="T53" s="215">
        <f t="shared" ref="T53:AE53" ca="1" si="97">IF(AND($Q53=2,ACOMPANHAMENTO="BM"),T54,T55/$R53)</f>
        <v>0</v>
      </c>
      <c r="U53" s="207">
        <f t="shared" ca="1" si="97"/>
        <v>1</v>
      </c>
      <c r="V53" s="207">
        <f t="shared" ca="1" si="97"/>
        <v>0</v>
      </c>
      <c r="W53" s="207">
        <f t="shared" ca="1" si="97"/>
        <v>0</v>
      </c>
      <c r="X53" s="207">
        <f t="shared" ca="1" si="97"/>
        <v>0</v>
      </c>
      <c r="Y53" s="207">
        <f t="shared" ca="1" si="97"/>
        <v>0</v>
      </c>
      <c r="Z53" s="207">
        <f t="shared" ca="1" si="97"/>
        <v>0</v>
      </c>
      <c r="AA53" s="207">
        <f t="shared" ca="1" si="97"/>
        <v>0</v>
      </c>
      <c r="AB53" s="207">
        <f t="shared" ca="1" si="97"/>
        <v>0</v>
      </c>
      <c r="AC53" s="207">
        <f t="shared" ca="1" si="97"/>
        <v>0</v>
      </c>
      <c r="AD53" s="207">
        <f t="shared" ca="1" si="97"/>
        <v>0</v>
      </c>
      <c r="AE53" s="216">
        <f t="shared" ca="1" si="97"/>
        <v>0</v>
      </c>
    </row>
    <row r="54" spans="1:32" ht="12.75" customHeight="1" x14ac:dyDescent="0.2">
      <c r="D54" s="569"/>
      <c r="E54" s="204">
        <f ca="1">IF(ISERROR(E53),IF(1+COUNTIF($L$13:OFFSET(L53,-1,0),1)&lt;=MAX(QCI!$D$13:$D$24),1+COUNTIF($L$13:OFFSET(L53,-1,0),1),-1),0)</f>
        <v>0</v>
      </c>
      <c r="F54" s="204" t="str">
        <f t="shared" ref="F54" ca="1" si="98">IF(AND($E54&lt;&gt;-1,$R53&gt;0),"F","")</f>
        <v>F</v>
      </c>
      <c r="G54" s="217" t="str">
        <f ca="1">IF(OR(R53=0,R53=""),"vazia",IF(AND(OR(ACOMPANHAMENTO="PLE",$Q53&lt;&gt;2),$E54=0),"calculada","--&gt;"))</f>
        <v>--&gt;</v>
      </c>
      <c r="H54" s="218"/>
      <c r="I54" s="219" t="str">
        <f t="shared" ref="I54" ca="1" si="99">IF(AND(G53&lt;&gt;0,ISNUMBER(G53)),"PREENCHA ESTA LINHA --&gt;","")</f>
        <v/>
      </c>
      <c r="J54" s="219"/>
      <c r="K54" s="219"/>
      <c r="L54" s="220"/>
      <c r="M54" s="220"/>
      <c r="N54" s="220"/>
      <c r="O54" s="220"/>
      <c r="P54" s="220"/>
      <c r="Q54" s="220"/>
      <c r="R54" s="221"/>
      <c r="S54" s="222"/>
      <c r="T54" s="570"/>
      <c r="U54" s="569">
        <v>1</v>
      </c>
      <c r="V54" s="569"/>
      <c r="W54" s="569"/>
      <c r="X54" s="569"/>
      <c r="Y54" s="569"/>
      <c r="Z54" s="569"/>
      <c r="AA54" s="569"/>
      <c r="AB54" s="569"/>
      <c r="AC54" s="569"/>
      <c r="AD54" s="569"/>
      <c r="AE54" s="571"/>
      <c r="AF54" s="533"/>
    </row>
    <row r="55" spans="1:32" ht="0.2" hidden="1" customHeight="1" x14ac:dyDescent="0.2">
      <c r="D55" s="223">
        <f ca="1">IF($Q53=2,IF(AND(ACOMPANHAMENTO="PLE",ISNUMBER($E53)),SUMIF((OFFSET(CÁLCULO!$AM$15:$AW$15,$E53,0,OFFSET(ORÇAMENTO!$D$15,CRONO!$E53,0))),"="&amp;CRONO!D$12,OFFSET(CÁLCULO!$AB$15:$AL$15,$E53,0,OFFSET(ORÇAMENTO!$D$15,CRONO!$E53,0)))+IF(AND($E55&lt;&gt;"",$E55&lt;&gt;0),SUMIF(CÁLCULO!$AM$15:$AW$119,"="&amp;CRONO!D$12,CÁLCULO!$AB$15:$AL$119)/(ORÇAMENTO!$X$15-CÁLCULO.TotalAdmLocal)*CRONO!$E55,0),D54*$R53),SUMIF(OFFSET($R55,1,0,$Q53-2),($L53+1)&amp;"$",OFFSET(D55,1,0,$Q53-2)))</f>
        <v>0</v>
      </c>
      <c r="E55" s="204" t="str">
        <f ca="1">IF(OR($Q53&lt;&gt;2,AUTOEVENTO&lt;&gt;"manual",$E54&gt;0),"",SUMIF(OFFSET(CÁLCULO!$M$15,CRONO!$E53,0,OFFSET(ORÇAMENTO!$D$15,CRONO!$E53,0)),1,OFFSET(ORÇAMENTO!$X$15,CRONO!$E53,0,OFFSET(ORÇAMENTO!$D$15,CRONO!$E53,0))))</f>
        <v/>
      </c>
      <c r="G55" s="224"/>
      <c r="R55" s="225" t="str">
        <f t="shared" ref="R55" ca="1" si="100">L53&amp;"$"</f>
        <v>2$</v>
      </c>
      <c r="S55" s="226"/>
      <c r="T55" s="227">
        <f ca="1">IF($Q53=2,IF(AND(ACOMPANHAMENTO="PLE",ISNUMBER($E53)),SUMIF((OFFSET(CÁLCULO!$AM$15:$AW$15,$E53,0,OFFSET(ORÇAMENTO!$D$15,CRONO!$E53,0))),"&lt;="&amp;CRONO!T$12,OFFSET(CÁLCULO!$AB$15:$AL$15,$E53,0,OFFSET(ORÇAMENTO!$D$15,CRONO!$E53,0)))+IF(AND($E55&lt;&gt;"",$E55&lt;&gt;0),SUMIF(CÁLCULO!$AM$15:$AW$119,"&lt;="&amp;CRONO!T$12,CÁLCULO!$AB$15:$AL$119)/(ORÇAMENTO!$X$15-CÁLCULO.TotalAdmLocal)*CRONO!$E55,0),T54*$R53),SUMIF(OFFSET($R55,1,0,$Q53-2),($L53+1)&amp;"$",OFFSET(T55,1,0,$Q53-2)))</f>
        <v>0</v>
      </c>
      <c r="U55" s="223">
        <f ca="1">IF($Q53=2,IF(AND(ACOMPANHAMENTO="PLE",ISNUMBER($E53)),SUMIF((OFFSET(CÁLCULO!$AM$15:$AW$15,$E53,0,OFFSET(ORÇAMENTO!$D$15,CRONO!$E53,0))),"="&amp;CRONO!U$12,OFFSET(CÁLCULO!$AB$15:$AL$15,$E53,0,OFFSET(ORÇAMENTO!$D$15,CRONO!$E53,0)))+IF(AND($E55&lt;&gt;"",$E55&lt;&gt;0),SUMIF(CÁLCULO!$AM$15:$AW$119,"="&amp;CRONO!U$12,CÁLCULO!$AB$15:$AL$119)/(ORÇAMENTO!$X$15-CÁLCULO.TotalAdmLocal)*CRONO!$E55,0),U54*$R53),SUMIF(OFFSET($R55,1,0,$Q53-2),($L53+1)&amp;"$",OFFSET(U55,1,0,$Q53-2)))</f>
        <v>8049.5</v>
      </c>
      <c r="V55" s="223">
        <f ca="1">IF($Q53=2,IF(AND(ACOMPANHAMENTO="PLE",ISNUMBER($E53)),SUMIF((OFFSET(CÁLCULO!$AM$15:$AW$15,$E53,0,OFFSET(ORÇAMENTO!$D$15,CRONO!$E53,0))),"="&amp;CRONO!V$12,OFFSET(CÁLCULO!$AB$15:$AL$15,$E53,0,OFFSET(ORÇAMENTO!$D$15,CRONO!$E53,0)))+IF(AND($E55&lt;&gt;"",$E55&lt;&gt;0),SUMIF(CÁLCULO!$AM$15:$AW$119,"="&amp;CRONO!V$12,CÁLCULO!$AB$15:$AL$119)/(ORÇAMENTO!$X$15-CÁLCULO.TotalAdmLocal)*CRONO!$E55,0),V54*$R53),SUMIF(OFFSET($R55,1,0,$Q53-2),($L53+1)&amp;"$",OFFSET(V55,1,0,$Q53-2)))</f>
        <v>0</v>
      </c>
      <c r="W55" s="223">
        <f ca="1">IF($Q53=2,IF(AND(ACOMPANHAMENTO="PLE",ISNUMBER($E53)),SUMIF((OFFSET(CÁLCULO!$AM$15:$AW$15,$E53,0,OFFSET(ORÇAMENTO!$D$15,CRONO!$E53,0))),"="&amp;CRONO!W$12,OFFSET(CÁLCULO!$AB$15:$AL$15,$E53,0,OFFSET(ORÇAMENTO!$D$15,CRONO!$E53,0)))+IF(AND($E55&lt;&gt;"",$E55&lt;&gt;0),SUMIF(CÁLCULO!$AM$15:$AW$119,"="&amp;CRONO!W$12,CÁLCULO!$AB$15:$AL$119)/(ORÇAMENTO!$X$15-CÁLCULO.TotalAdmLocal)*CRONO!$E55,0),W54*$R53),SUMIF(OFFSET($R55,1,0,$Q53-2),($L53+1)&amp;"$",OFFSET(W55,1,0,$Q53-2)))</f>
        <v>0</v>
      </c>
      <c r="X55" s="223">
        <f ca="1">IF($Q53=2,IF(AND(ACOMPANHAMENTO="PLE",ISNUMBER($E53)),SUMIF((OFFSET(CÁLCULO!$AM$15:$AW$15,$E53,0,OFFSET(ORÇAMENTO!$D$15,CRONO!$E53,0))),"="&amp;CRONO!X$12,OFFSET(CÁLCULO!$AB$15:$AL$15,$E53,0,OFFSET(ORÇAMENTO!$D$15,CRONO!$E53,0)))+IF(AND($E55&lt;&gt;"",$E55&lt;&gt;0),SUMIF(CÁLCULO!$AM$15:$AW$119,"="&amp;CRONO!X$12,CÁLCULO!$AB$15:$AL$119)/(ORÇAMENTO!$X$15-CÁLCULO.TotalAdmLocal)*CRONO!$E55,0),X54*$R53),SUMIF(OFFSET($R55,1,0,$Q53-2),($L53+1)&amp;"$",OFFSET(X55,1,0,$Q53-2)))</f>
        <v>0</v>
      </c>
      <c r="Y55" s="223">
        <f ca="1">IF($Q53=2,IF(AND(ACOMPANHAMENTO="PLE",ISNUMBER($E53)),SUMIF((OFFSET(CÁLCULO!$AM$15:$AW$15,$E53,0,OFFSET(ORÇAMENTO!$D$15,CRONO!$E53,0))),"="&amp;CRONO!Y$12,OFFSET(CÁLCULO!$AB$15:$AL$15,$E53,0,OFFSET(ORÇAMENTO!$D$15,CRONO!$E53,0)))+IF(AND($E55&lt;&gt;"",$E55&lt;&gt;0),SUMIF(CÁLCULO!$AM$15:$AW$119,"="&amp;CRONO!Y$12,CÁLCULO!$AB$15:$AL$119)/(ORÇAMENTO!$X$15-CÁLCULO.TotalAdmLocal)*CRONO!$E55,0),Y54*$R53),SUMIF(OFFSET($R55,1,0,$Q53-2),($L53+1)&amp;"$",OFFSET(Y55,1,0,$Q53-2)))</f>
        <v>0</v>
      </c>
      <c r="Z55" s="223">
        <f ca="1">IF($Q53=2,IF(AND(ACOMPANHAMENTO="PLE",ISNUMBER($E53)),SUMIF((OFFSET(CÁLCULO!$AM$15:$AW$15,$E53,0,OFFSET(ORÇAMENTO!$D$15,CRONO!$E53,0))),"="&amp;CRONO!Z$12,OFFSET(CÁLCULO!$AB$15:$AL$15,$E53,0,OFFSET(ORÇAMENTO!$D$15,CRONO!$E53,0)))+IF(AND($E55&lt;&gt;"",$E55&lt;&gt;0),SUMIF(CÁLCULO!$AM$15:$AW$119,"="&amp;CRONO!Z$12,CÁLCULO!$AB$15:$AL$119)/(ORÇAMENTO!$X$15-CÁLCULO.TotalAdmLocal)*CRONO!$E55,0),Z54*$R53),SUMIF(OFFSET($R55,1,0,$Q53-2),($L53+1)&amp;"$",OFFSET(Z55,1,0,$Q53-2)))</f>
        <v>0</v>
      </c>
      <c r="AA55" s="223">
        <f ca="1">IF($Q53=2,IF(AND(ACOMPANHAMENTO="PLE",ISNUMBER($E53)),SUMIF((OFFSET(CÁLCULO!$AM$15:$AW$15,$E53,0,OFFSET(ORÇAMENTO!$D$15,CRONO!$E53,0))),"="&amp;CRONO!AA$12,OFFSET(CÁLCULO!$AB$15:$AL$15,$E53,0,OFFSET(ORÇAMENTO!$D$15,CRONO!$E53,0)))+IF(AND($E55&lt;&gt;"",$E55&lt;&gt;0),SUMIF(CÁLCULO!$AM$15:$AW$119,"="&amp;CRONO!AA$12,CÁLCULO!$AB$15:$AL$119)/(ORÇAMENTO!$X$15-CÁLCULO.TotalAdmLocal)*CRONO!$E55,0),AA54*$R53),SUMIF(OFFSET($R55,1,0,$Q53-2),($L53+1)&amp;"$",OFFSET(AA55,1,0,$Q53-2)))</f>
        <v>0</v>
      </c>
      <c r="AB55" s="223">
        <f ca="1">IF($Q53=2,IF(AND(ACOMPANHAMENTO="PLE",ISNUMBER($E53)),SUMIF((OFFSET(CÁLCULO!$AM$15:$AW$15,$E53,0,OFFSET(ORÇAMENTO!$D$15,CRONO!$E53,0))),"="&amp;CRONO!AB$12,OFFSET(CÁLCULO!$AB$15:$AL$15,$E53,0,OFFSET(ORÇAMENTO!$D$15,CRONO!$E53,0)))+IF(AND($E55&lt;&gt;"",$E55&lt;&gt;0),SUMIF(CÁLCULO!$AM$15:$AW$119,"="&amp;CRONO!AB$12,CÁLCULO!$AB$15:$AL$119)/(ORÇAMENTO!$X$15-CÁLCULO.TotalAdmLocal)*CRONO!$E55,0),AB54*$R53),SUMIF(OFFSET($R55,1,0,$Q53-2),($L53+1)&amp;"$",OFFSET(AB55,1,0,$Q53-2)))</f>
        <v>0</v>
      </c>
      <c r="AC55" s="223">
        <f ca="1">IF($Q53=2,IF(AND(ACOMPANHAMENTO="PLE",ISNUMBER($E53)),SUMIF((OFFSET(CÁLCULO!$AM$15:$AW$15,$E53,0,OFFSET(ORÇAMENTO!$D$15,CRONO!$E53,0))),"="&amp;CRONO!AC$12,OFFSET(CÁLCULO!$AB$15:$AL$15,$E53,0,OFFSET(ORÇAMENTO!$D$15,CRONO!$E53,0)))+IF(AND($E55&lt;&gt;"",$E55&lt;&gt;0),SUMIF(CÁLCULO!$AM$15:$AW$119,"="&amp;CRONO!AC$12,CÁLCULO!$AB$15:$AL$119)/(ORÇAMENTO!$X$15-CÁLCULO.TotalAdmLocal)*CRONO!$E55,0),AC54*$R53),SUMIF(OFFSET($R55,1,0,$Q53-2),($L53+1)&amp;"$",OFFSET(AC55,1,0,$Q53-2)))</f>
        <v>0</v>
      </c>
      <c r="AD55" s="223">
        <f ca="1">IF($Q53=2,IF(AND(ACOMPANHAMENTO="PLE",ISNUMBER($E53)),SUMIF((OFFSET(CÁLCULO!$AM$15:$AW$15,$E53,0,OFFSET(ORÇAMENTO!$D$15,CRONO!$E53,0))),"="&amp;CRONO!AD$12,OFFSET(CÁLCULO!$AB$15:$AL$15,$E53,0,OFFSET(ORÇAMENTO!$D$15,CRONO!$E53,0)))+IF(AND($E55&lt;&gt;"",$E55&lt;&gt;0),SUMIF(CÁLCULO!$AM$15:$AW$119,"="&amp;CRONO!AD$12,CÁLCULO!$AB$15:$AL$119)/(ORÇAMENTO!$X$15-CÁLCULO.TotalAdmLocal)*CRONO!$E55,0),AD54*$R53),SUMIF(OFFSET($R55,1,0,$Q53-2),($L53+1)&amp;"$",OFFSET(AD55,1,0,$Q53-2)))</f>
        <v>0</v>
      </c>
      <c r="AE55" s="228">
        <f ca="1">IF($Q53=2,IF(AND(ACOMPANHAMENTO="PLE",ISNUMBER($E53)),SUMIF((OFFSET(CÁLCULO!$AM$15:$AW$15,$E53,0,OFFSET(ORÇAMENTO!$D$15,CRONO!$E53,0))),"="&amp;CRONO!AE$12,OFFSET(CÁLCULO!$AB$15:$AL$15,$E53,0,OFFSET(ORÇAMENTO!$D$15,CRONO!$E53,0)))+IF(AND($E55&lt;&gt;"",$E55&lt;&gt;0),SUMIF(CÁLCULO!$AM$15:$AW$119,"="&amp;CRONO!AE$12,CÁLCULO!$AB$15:$AL$119)/(ORÇAMENTO!$X$15-CÁLCULO.TotalAdmLocal)*CRONO!$E55,0),AE54*$R53),SUMIF(OFFSET($R55,1,0,$Q53-2),($L53+1)&amp;"$",OFFSET(AE55,1,0,$Q53-2)))</f>
        <v>0</v>
      </c>
    </row>
    <row r="56" spans="1:32" x14ac:dyDescent="0.2">
      <c r="A56" s="204">
        <f t="shared" ref="A56" ca="1" si="101">OFFSET(A56,-3,0)+1</f>
        <v>15</v>
      </c>
      <c r="B56" s="204">
        <f ca="1">IF($Q56&lt;&gt;2,0,IF($R56=0,1,IF(E57&gt;0,OFFSET(QCI!$M$13,SUBSTITUTE(E57,".",""),0),OFFSET(ORÇAMENTO!$AA$15,CRONO!$E56,0))/$R56))</f>
        <v>1</v>
      </c>
      <c r="C56" s="204">
        <f ca="1">IF($Q56&lt;&gt;2,0,IF($R56=0,1,IF(E57&gt;0,OFFSET(QCI!$N$13,SUBSTITUTE(E57,".",""),0),OFFSET(ORÇAMENTO!$AB$15,CRONO!$E56,0))/$R56))</f>
        <v>0</v>
      </c>
      <c r="D56" s="207">
        <f ca="1">IF(AND($Q56=2,ACOMPANHAMENTO="BM"),D57,D58/$R56)</f>
        <v>0</v>
      </c>
      <c r="E56" s="204">
        <f ca="1">IF(A56&lt;=ORÇAMENTO.MáximoListaCrono,MATCH(A56,ORÇAMENTO.ListaCrono,0),NA())</f>
        <v>77</v>
      </c>
      <c r="F56" s="204" t="str">
        <f t="shared" ref="F56" ca="1" si="102">IF(AND($E57&lt;&gt;-1,$R56&gt;0),"F","")</f>
        <v>F</v>
      </c>
      <c r="G56" s="208">
        <f ca="1">IF(OR(R56=0,R56=""),"Linha",IF(AND(OR(ACOMPANHAMENTO="PLE",$Q56&lt;&gt;2),$E57=0),"Linha",1-SUM(T56:AF56)))</f>
        <v>0</v>
      </c>
      <c r="H56" s="209" t="str">
        <f ca="1">IF($E57=0,OFFSET(ORÇAMENTO!O$15,$E56,0),IF($E57&lt;&gt;-1,OFFSET(QCI!$D$13,$E57,0),""))</f>
        <v>3.2.</v>
      </c>
      <c r="I56" s="210" t="str">
        <f ca="1">IF($E57=0,OFFSET(ORÇAMENTO!R$15,$E56,0),IF($E57&lt;&gt;-1,OFFSET(QCI!$G$13,$E57,0),""))</f>
        <v>ADMINISTRAÇÃO LOCAL</v>
      </c>
      <c r="J56" s="210"/>
      <c r="K56" s="210"/>
      <c r="L56" s="211">
        <f ca="1">IF($E57=0,OFFSET(ORÇAMENTO!C$15,$E56,0),1)</f>
        <v>2</v>
      </c>
      <c r="M56" s="212">
        <f ca="1">IF($E57=-1,0,IF(M$13&lt;=$L56,IF(ISERROR(MATCH(M$13,OFFSET($L56,1,0,ROW($L$68)-ROW($L56)-1),0)),ROW($L$68)-ROW($L56)-1,MATCH(M$13,OFFSET($L56,1,0,ROW($L$68)-ROW($L56)-1),0)-1),0))</f>
        <v>11</v>
      </c>
      <c r="N56" s="212">
        <f ca="1">IF($E57=-1,0,IF(N$13&lt;=$L56,IF(ISERROR(MATCH(N$13,OFFSET($L56,1,0,ROW($L$68)-ROW($L56)-1),0)),ROW($L$68)-ROW($L56)-1,MATCH(N$13,OFFSET($L56,1,0,ROW($L$68)-ROW($L56)-1),0)-1),0))</f>
        <v>2</v>
      </c>
      <c r="O56" s="212">
        <f ca="1">IF($E57=-1,0,IF(O$13&lt;=$L56,IF(ISERROR(MATCH(O$13,OFFSET($L56,1,0,ROW($L$68)-ROW($L56)-1),0)),ROW($L$68)-ROW($L56)-1,MATCH(O$13,OFFSET($L56,1,0,ROW($L$68)-ROW($L56)-1),0)-1),0))</f>
        <v>0</v>
      </c>
      <c r="P56" s="212">
        <f ca="1">IF($E57=-1,0,IF(P$13&lt;=$L56,IF(ISERROR(MATCH(P$13,OFFSET($L56,1,0,ROW($L$68)-ROW($L56)-1),0)),ROW($L$68)-ROW($L56)-1,MATCH(P$13,OFFSET($L56,1,0,ROW($L$68)-ROW($L56)-1),0)-1),0))</f>
        <v>0</v>
      </c>
      <c r="Q56" s="212">
        <f t="shared" ref="Q56" ca="1" si="103">MIN(OFFSET(L56,0,1,,L56))</f>
        <v>2</v>
      </c>
      <c r="R56" s="213">
        <f ca="1">IF($E57=0,OFFSET(ORÇAMENTO!X$15,$E56,0),IF($E57&lt;&gt;-1,OFFSET(QCI!$O$13,$E57,0),""))</f>
        <v>7454.1</v>
      </c>
      <c r="S56" s="214" t="s">
        <v>270</v>
      </c>
      <c r="T56" s="215">
        <f t="shared" ref="T56:AE56" ca="1" si="104">IF(AND($Q56=2,ACOMPANHAMENTO="BM"),T57,T58/$R56)</f>
        <v>0</v>
      </c>
      <c r="U56" s="207">
        <f t="shared" ca="1" si="104"/>
        <v>0.4</v>
      </c>
      <c r="V56" s="207">
        <f t="shared" ca="1" si="104"/>
        <v>0.3</v>
      </c>
      <c r="W56" s="207">
        <f t="shared" ca="1" si="104"/>
        <v>0.3</v>
      </c>
      <c r="X56" s="207">
        <f t="shared" ca="1" si="104"/>
        <v>0</v>
      </c>
      <c r="Y56" s="207">
        <f t="shared" ca="1" si="104"/>
        <v>0</v>
      </c>
      <c r="Z56" s="207">
        <f t="shared" ca="1" si="104"/>
        <v>0</v>
      </c>
      <c r="AA56" s="207">
        <f t="shared" ca="1" si="104"/>
        <v>0</v>
      </c>
      <c r="AB56" s="207">
        <f t="shared" ca="1" si="104"/>
        <v>0</v>
      </c>
      <c r="AC56" s="207">
        <f t="shared" ca="1" si="104"/>
        <v>0</v>
      </c>
      <c r="AD56" s="207">
        <f t="shared" ca="1" si="104"/>
        <v>0</v>
      </c>
      <c r="AE56" s="216">
        <f t="shared" ca="1" si="104"/>
        <v>0</v>
      </c>
    </row>
    <row r="57" spans="1:32" ht="12.75" customHeight="1" x14ac:dyDescent="0.2">
      <c r="D57" s="569"/>
      <c r="E57" s="204">
        <f ca="1">IF(ISERROR(E56),IF(1+COUNTIF($L$13:OFFSET(L56,-1,0),1)&lt;=MAX(QCI!$D$13:$D$24),1+COUNTIF($L$13:OFFSET(L56,-1,0),1),-1),0)</f>
        <v>0</v>
      </c>
      <c r="F57" s="204" t="str">
        <f t="shared" ref="F57" ca="1" si="105">IF(AND($E57&lt;&gt;-1,$R56&gt;0),"F","")</f>
        <v>F</v>
      </c>
      <c r="G57" s="217" t="str">
        <f ca="1">IF(OR(R56=0,R56=""),"vazia",IF(AND(OR(ACOMPANHAMENTO="PLE",$Q56&lt;&gt;2),$E57=0),"calculada","--&gt;"))</f>
        <v>--&gt;</v>
      </c>
      <c r="H57" s="218"/>
      <c r="I57" s="219" t="str">
        <f t="shared" ref="I57" ca="1" si="106">IF(AND(G56&lt;&gt;0,ISNUMBER(G56)),"PREENCHA ESTA LINHA --&gt;","")</f>
        <v/>
      </c>
      <c r="J57" s="219"/>
      <c r="K57" s="219"/>
      <c r="L57" s="220"/>
      <c r="M57" s="220"/>
      <c r="N57" s="220"/>
      <c r="O57" s="220"/>
      <c r="P57" s="220"/>
      <c r="Q57" s="220"/>
      <c r="R57" s="221"/>
      <c r="S57" s="222"/>
      <c r="T57" s="570"/>
      <c r="U57" s="569">
        <v>0.4</v>
      </c>
      <c r="V57" s="569">
        <v>0.3</v>
      </c>
      <c r="W57" s="569">
        <v>0.3</v>
      </c>
      <c r="X57" s="569"/>
      <c r="Y57" s="569"/>
      <c r="Z57" s="569"/>
      <c r="AA57" s="569"/>
      <c r="AB57" s="569"/>
      <c r="AC57" s="569"/>
      <c r="AD57" s="569"/>
      <c r="AE57" s="571"/>
      <c r="AF57" s="533"/>
    </row>
    <row r="58" spans="1:32" ht="0.2" hidden="1" customHeight="1" x14ac:dyDescent="0.2">
      <c r="D58" s="223">
        <f ca="1">IF($Q56=2,IF(AND(ACOMPANHAMENTO="PLE",ISNUMBER($E56)),SUMIF((OFFSET(CÁLCULO!$AM$15:$AW$15,$E56,0,OFFSET(ORÇAMENTO!$D$15,CRONO!$E56,0))),"="&amp;CRONO!D$12,OFFSET(CÁLCULO!$AB$15:$AL$15,$E56,0,OFFSET(ORÇAMENTO!$D$15,CRONO!$E56,0)))+IF(AND($E58&lt;&gt;"",$E58&lt;&gt;0),SUMIF(CÁLCULO!$AM$15:$AW$119,"="&amp;CRONO!D$12,CÁLCULO!$AB$15:$AL$119)/(ORÇAMENTO!$X$15-CÁLCULO.TotalAdmLocal)*CRONO!$E58,0),D57*$R56),SUMIF(OFFSET($R58,1,0,$Q56-2),($L56+1)&amp;"$",OFFSET(D58,1,0,$Q56-2)))</f>
        <v>0</v>
      </c>
      <c r="E58" s="204" t="str">
        <f ca="1">IF(OR($Q56&lt;&gt;2,AUTOEVENTO&lt;&gt;"manual",$E57&gt;0),"",SUMIF(OFFSET(CÁLCULO!$M$15,CRONO!$E56,0,OFFSET(ORÇAMENTO!$D$15,CRONO!$E56,0)),1,OFFSET(ORÇAMENTO!$X$15,CRONO!$E56,0,OFFSET(ORÇAMENTO!$D$15,CRONO!$E56,0))))</f>
        <v/>
      </c>
      <c r="G58" s="224"/>
      <c r="R58" s="225" t="str">
        <f t="shared" ref="R58" ca="1" si="107">L56&amp;"$"</f>
        <v>2$</v>
      </c>
      <c r="S58" s="226"/>
      <c r="T58" s="227">
        <f ca="1">IF($Q56=2,IF(AND(ACOMPANHAMENTO="PLE",ISNUMBER($E56)),SUMIF((OFFSET(CÁLCULO!$AM$15:$AW$15,$E56,0,OFFSET(ORÇAMENTO!$D$15,CRONO!$E56,0))),"&lt;="&amp;CRONO!T$12,OFFSET(CÁLCULO!$AB$15:$AL$15,$E56,0,OFFSET(ORÇAMENTO!$D$15,CRONO!$E56,0)))+IF(AND($E58&lt;&gt;"",$E58&lt;&gt;0),SUMIF(CÁLCULO!$AM$15:$AW$119,"&lt;="&amp;CRONO!T$12,CÁLCULO!$AB$15:$AL$119)/(ORÇAMENTO!$X$15-CÁLCULO.TotalAdmLocal)*CRONO!$E58,0),T57*$R56),SUMIF(OFFSET($R58,1,0,$Q56-2),($L56+1)&amp;"$",OFFSET(T58,1,0,$Q56-2)))</f>
        <v>0</v>
      </c>
      <c r="U58" s="223">
        <f ca="1">IF($Q56=2,IF(AND(ACOMPANHAMENTO="PLE",ISNUMBER($E56)),SUMIF((OFFSET(CÁLCULO!$AM$15:$AW$15,$E56,0,OFFSET(ORÇAMENTO!$D$15,CRONO!$E56,0))),"="&amp;CRONO!U$12,OFFSET(CÁLCULO!$AB$15:$AL$15,$E56,0,OFFSET(ORÇAMENTO!$D$15,CRONO!$E56,0)))+IF(AND($E58&lt;&gt;"",$E58&lt;&gt;0),SUMIF(CÁLCULO!$AM$15:$AW$119,"="&amp;CRONO!U$12,CÁLCULO!$AB$15:$AL$119)/(ORÇAMENTO!$X$15-CÁLCULO.TotalAdmLocal)*CRONO!$E58,0),U57*$R56),SUMIF(OFFSET($R58,1,0,$Q56-2),($L56+1)&amp;"$",OFFSET(U58,1,0,$Q56-2)))</f>
        <v>2981.6400000000003</v>
      </c>
      <c r="V58" s="223">
        <f ca="1">IF($Q56=2,IF(AND(ACOMPANHAMENTO="PLE",ISNUMBER($E56)),SUMIF((OFFSET(CÁLCULO!$AM$15:$AW$15,$E56,0,OFFSET(ORÇAMENTO!$D$15,CRONO!$E56,0))),"="&amp;CRONO!V$12,OFFSET(CÁLCULO!$AB$15:$AL$15,$E56,0,OFFSET(ORÇAMENTO!$D$15,CRONO!$E56,0)))+IF(AND($E58&lt;&gt;"",$E58&lt;&gt;0),SUMIF(CÁLCULO!$AM$15:$AW$119,"="&amp;CRONO!V$12,CÁLCULO!$AB$15:$AL$119)/(ORÇAMENTO!$X$15-CÁLCULO.TotalAdmLocal)*CRONO!$E58,0),V57*$R56),SUMIF(OFFSET($R58,1,0,$Q56-2),($L56+1)&amp;"$",OFFSET(V58,1,0,$Q56-2)))</f>
        <v>2236.23</v>
      </c>
      <c r="W58" s="223">
        <f ca="1">IF($Q56=2,IF(AND(ACOMPANHAMENTO="PLE",ISNUMBER($E56)),SUMIF((OFFSET(CÁLCULO!$AM$15:$AW$15,$E56,0,OFFSET(ORÇAMENTO!$D$15,CRONO!$E56,0))),"="&amp;CRONO!W$12,OFFSET(CÁLCULO!$AB$15:$AL$15,$E56,0,OFFSET(ORÇAMENTO!$D$15,CRONO!$E56,0)))+IF(AND($E58&lt;&gt;"",$E58&lt;&gt;0),SUMIF(CÁLCULO!$AM$15:$AW$119,"="&amp;CRONO!W$12,CÁLCULO!$AB$15:$AL$119)/(ORÇAMENTO!$X$15-CÁLCULO.TotalAdmLocal)*CRONO!$E58,0),W57*$R56),SUMIF(OFFSET($R58,1,0,$Q56-2),($L56+1)&amp;"$",OFFSET(W58,1,0,$Q56-2)))</f>
        <v>2236.23</v>
      </c>
      <c r="X58" s="223">
        <f ca="1">IF($Q56=2,IF(AND(ACOMPANHAMENTO="PLE",ISNUMBER($E56)),SUMIF((OFFSET(CÁLCULO!$AM$15:$AW$15,$E56,0,OFFSET(ORÇAMENTO!$D$15,CRONO!$E56,0))),"="&amp;CRONO!X$12,OFFSET(CÁLCULO!$AB$15:$AL$15,$E56,0,OFFSET(ORÇAMENTO!$D$15,CRONO!$E56,0)))+IF(AND($E58&lt;&gt;"",$E58&lt;&gt;0),SUMIF(CÁLCULO!$AM$15:$AW$119,"="&amp;CRONO!X$12,CÁLCULO!$AB$15:$AL$119)/(ORÇAMENTO!$X$15-CÁLCULO.TotalAdmLocal)*CRONO!$E58,0),X57*$R56),SUMIF(OFFSET($R58,1,0,$Q56-2),($L56+1)&amp;"$",OFFSET(X58,1,0,$Q56-2)))</f>
        <v>0</v>
      </c>
      <c r="Y58" s="223">
        <f ca="1">IF($Q56=2,IF(AND(ACOMPANHAMENTO="PLE",ISNUMBER($E56)),SUMIF((OFFSET(CÁLCULO!$AM$15:$AW$15,$E56,0,OFFSET(ORÇAMENTO!$D$15,CRONO!$E56,0))),"="&amp;CRONO!Y$12,OFFSET(CÁLCULO!$AB$15:$AL$15,$E56,0,OFFSET(ORÇAMENTO!$D$15,CRONO!$E56,0)))+IF(AND($E58&lt;&gt;"",$E58&lt;&gt;0),SUMIF(CÁLCULO!$AM$15:$AW$119,"="&amp;CRONO!Y$12,CÁLCULO!$AB$15:$AL$119)/(ORÇAMENTO!$X$15-CÁLCULO.TotalAdmLocal)*CRONO!$E58,0),Y57*$R56),SUMIF(OFFSET($R58,1,0,$Q56-2),($L56+1)&amp;"$",OFFSET(Y58,1,0,$Q56-2)))</f>
        <v>0</v>
      </c>
      <c r="Z58" s="223">
        <f ca="1">IF($Q56=2,IF(AND(ACOMPANHAMENTO="PLE",ISNUMBER($E56)),SUMIF((OFFSET(CÁLCULO!$AM$15:$AW$15,$E56,0,OFFSET(ORÇAMENTO!$D$15,CRONO!$E56,0))),"="&amp;CRONO!Z$12,OFFSET(CÁLCULO!$AB$15:$AL$15,$E56,0,OFFSET(ORÇAMENTO!$D$15,CRONO!$E56,0)))+IF(AND($E58&lt;&gt;"",$E58&lt;&gt;0),SUMIF(CÁLCULO!$AM$15:$AW$119,"="&amp;CRONO!Z$12,CÁLCULO!$AB$15:$AL$119)/(ORÇAMENTO!$X$15-CÁLCULO.TotalAdmLocal)*CRONO!$E58,0),Z57*$R56),SUMIF(OFFSET($R58,1,0,$Q56-2),($L56+1)&amp;"$",OFFSET(Z58,1,0,$Q56-2)))</f>
        <v>0</v>
      </c>
      <c r="AA58" s="223">
        <f ca="1">IF($Q56=2,IF(AND(ACOMPANHAMENTO="PLE",ISNUMBER($E56)),SUMIF((OFFSET(CÁLCULO!$AM$15:$AW$15,$E56,0,OFFSET(ORÇAMENTO!$D$15,CRONO!$E56,0))),"="&amp;CRONO!AA$12,OFFSET(CÁLCULO!$AB$15:$AL$15,$E56,0,OFFSET(ORÇAMENTO!$D$15,CRONO!$E56,0)))+IF(AND($E58&lt;&gt;"",$E58&lt;&gt;0),SUMIF(CÁLCULO!$AM$15:$AW$119,"="&amp;CRONO!AA$12,CÁLCULO!$AB$15:$AL$119)/(ORÇAMENTO!$X$15-CÁLCULO.TotalAdmLocal)*CRONO!$E58,0),AA57*$R56),SUMIF(OFFSET($R58,1,0,$Q56-2),($L56+1)&amp;"$",OFFSET(AA58,1,0,$Q56-2)))</f>
        <v>0</v>
      </c>
      <c r="AB58" s="223">
        <f ca="1">IF($Q56=2,IF(AND(ACOMPANHAMENTO="PLE",ISNUMBER($E56)),SUMIF((OFFSET(CÁLCULO!$AM$15:$AW$15,$E56,0,OFFSET(ORÇAMENTO!$D$15,CRONO!$E56,0))),"="&amp;CRONO!AB$12,OFFSET(CÁLCULO!$AB$15:$AL$15,$E56,0,OFFSET(ORÇAMENTO!$D$15,CRONO!$E56,0)))+IF(AND($E58&lt;&gt;"",$E58&lt;&gt;0),SUMIF(CÁLCULO!$AM$15:$AW$119,"="&amp;CRONO!AB$12,CÁLCULO!$AB$15:$AL$119)/(ORÇAMENTO!$X$15-CÁLCULO.TotalAdmLocal)*CRONO!$E58,0),AB57*$R56),SUMIF(OFFSET($R58,1,0,$Q56-2),($L56+1)&amp;"$",OFFSET(AB58,1,0,$Q56-2)))</f>
        <v>0</v>
      </c>
      <c r="AC58" s="223">
        <f ca="1">IF($Q56=2,IF(AND(ACOMPANHAMENTO="PLE",ISNUMBER($E56)),SUMIF((OFFSET(CÁLCULO!$AM$15:$AW$15,$E56,0,OFFSET(ORÇAMENTO!$D$15,CRONO!$E56,0))),"="&amp;CRONO!AC$12,OFFSET(CÁLCULO!$AB$15:$AL$15,$E56,0,OFFSET(ORÇAMENTO!$D$15,CRONO!$E56,0)))+IF(AND($E58&lt;&gt;"",$E58&lt;&gt;0),SUMIF(CÁLCULO!$AM$15:$AW$119,"="&amp;CRONO!AC$12,CÁLCULO!$AB$15:$AL$119)/(ORÇAMENTO!$X$15-CÁLCULO.TotalAdmLocal)*CRONO!$E58,0),AC57*$R56),SUMIF(OFFSET($R58,1,0,$Q56-2),($L56+1)&amp;"$",OFFSET(AC58,1,0,$Q56-2)))</f>
        <v>0</v>
      </c>
      <c r="AD58" s="223">
        <f ca="1">IF($Q56=2,IF(AND(ACOMPANHAMENTO="PLE",ISNUMBER($E56)),SUMIF((OFFSET(CÁLCULO!$AM$15:$AW$15,$E56,0,OFFSET(ORÇAMENTO!$D$15,CRONO!$E56,0))),"="&amp;CRONO!AD$12,OFFSET(CÁLCULO!$AB$15:$AL$15,$E56,0,OFFSET(ORÇAMENTO!$D$15,CRONO!$E56,0)))+IF(AND($E58&lt;&gt;"",$E58&lt;&gt;0),SUMIF(CÁLCULO!$AM$15:$AW$119,"="&amp;CRONO!AD$12,CÁLCULO!$AB$15:$AL$119)/(ORÇAMENTO!$X$15-CÁLCULO.TotalAdmLocal)*CRONO!$E58,0),AD57*$R56),SUMIF(OFFSET($R58,1,0,$Q56-2),($L56+1)&amp;"$",OFFSET(AD58,1,0,$Q56-2)))</f>
        <v>0</v>
      </c>
      <c r="AE58" s="228">
        <f ca="1">IF($Q56=2,IF(AND(ACOMPANHAMENTO="PLE",ISNUMBER($E56)),SUMIF((OFFSET(CÁLCULO!$AM$15:$AW$15,$E56,0,OFFSET(ORÇAMENTO!$D$15,CRONO!$E56,0))),"="&amp;CRONO!AE$12,OFFSET(CÁLCULO!$AB$15:$AL$15,$E56,0,OFFSET(ORÇAMENTO!$D$15,CRONO!$E56,0)))+IF(AND($E58&lt;&gt;"",$E58&lt;&gt;0),SUMIF(CÁLCULO!$AM$15:$AW$119,"="&amp;CRONO!AE$12,CÁLCULO!$AB$15:$AL$119)/(ORÇAMENTO!$X$15-CÁLCULO.TotalAdmLocal)*CRONO!$E58,0),AE57*$R56),SUMIF(OFFSET($R58,1,0,$Q56-2),($L56+1)&amp;"$",OFFSET(AE58,1,0,$Q56-2)))</f>
        <v>0</v>
      </c>
    </row>
    <row r="59" spans="1:32" x14ac:dyDescent="0.2">
      <c r="A59" s="204">
        <f t="shared" ref="A59" ca="1" si="108">OFFSET(A59,-3,0)+1</f>
        <v>16</v>
      </c>
      <c r="B59" s="204">
        <f ca="1">IF($Q59&lt;&gt;2,0,IF($R59=0,1,IF(E60&gt;0,OFFSET(QCI!$M$13,SUBSTITUTE(E60,".",""),0),OFFSET(ORÇAMENTO!$AA$15,CRONO!$E59,0))/$R59))</f>
        <v>1</v>
      </c>
      <c r="C59" s="204">
        <f ca="1">IF($Q59&lt;&gt;2,0,IF($R59=0,1,IF(E60&gt;0,OFFSET(QCI!$N$13,SUBSTITUTE(E60,".",""),0),OFFSET(ORÇAMENTO!$AB$15,CRONO!$E59,0))/$R59))</f>
        <v>0</v>
      </c>
      <c r="D59" s="207">
        <f ca="1">IF(AND($Q59=2,ACOMPANHAMENTO="BM"),D60,D61/$R59)</f>
        <v>0</v>
      </c>
      <c r="E59" s="204">
        <f ca="1">IF(A59&lt;=ORÇAMENTO.MáximoListaCrono,MATCH(A59,ORÇAMENTO.ListaCrono,0),NA())</f>
        <v>81</v>
      </c>
      <c r="F59" s="204" t="str">
        <f t="shared" ref="F59" ca="1" si="109">IF(AND($E60&lt;&gt;-1,$R59&gt;0),"F","")</f>
        <v>F</v>
      </c>
      <c r="G59" s="208">
        <f ca="1">IF(OR(R59=0,R59=""),"Linha",IF(AND(OR(ACOMPANHAMENTO="PLE",$Q59&lt;&gt;2),$E60=0),"Linha",1-SUM(T59:AF59)))</f>
        <v>0</v>
      </c>
      <c r="H59" s="209" t="str">
        <f ca="1">IF($E60=0,OFFSET(ORÇAMENTO!O$15,$E59,0),IF($E60&lt;&gt;-1,OFFSET(QCI!$D$13,$E60,0),""))</f>
        <v>3.3.</v>
      </c>
      <c r="I59" s="210" t="str">
        <f ca="1">IF($E60=0,OFFSET(ORÇAMENTO!R$15,$E59,0),IF($E60&lt;&gt;-1,OFFSET(QCI!$G$13,$E60,0),""))</f>
        <v>DRENAGEM PLUVIAL</v>
      </c>
      <c r="J59" s="210"/>
      <c r="K59" s="210"/>
      <c r="L59" s="211">
        <f ca="1">IF($E60=0,OFFSET(ORÇAMENTO!C$15,$E59,0),1)</f>
        <v>2</v>
      </c>
      <c r="M59" s="212">
        <f ca="1">IF($E60=-1,0,IF(M$13&lt;=$L59,IF(ISERROR(MATCH(M$13,OFFSET($L59,1,0,ROW($L$68)-ROW($L59)-1),0)),ROW($L$68)-ROW($L59)-1,MATCH(M$13,OFFSET($L59,1,0,ROW($L$68)-ROW($L59)-1),0)-1),0))</f>
        <v>8</v>
      </c>
      <c r="N59" s="212">
        <f ca="1">IF($E60=-1,0,IF(N$13&lt;=$L59,IF(ISERROR(MATCH(N$13,OFFSET($L59,1,0,ROW($L$68)-ROW($L59)-1),0)),ROW($L$68)-ROW($L59)-1,MATCH(N$13,OFFSET($L59,1,0,ROW($L$68)-ROW($L59)-1),0)-1),0))</f>
        <v>2</v>
      </c>
      <c r="O59" s="212">
        <f ca="1">IF($E60=-1,0,IF(O$13&lt;=$L59,IF(ISERROR(MATCH(O$13,OFFSET($L59,1,0,ROW($L$68)-ROW($L59)-1),0)),ROW($L$68)-ROW($L59)-1,MATCH(O$13,OFFSET($L59,1,0,ROW($L$68)-ROW($L59)-1),0)-1),0))</f>
        <v>0</v>
      </c>
      <c r="P59" s="212">
        <f ca="1">IF($E60=-1,0,IF(P$13&lt;=$L59,IF(ISERROR(MATCH(P$13,OFFSET($L59,1,0,ROW($L$68)-ROW($L59)-1),0)),ROW($L$68)-ROW($L59)-1,MATCH(P$13,OFFSET($L59,1,0,ROW($L$68)-ROW($L59)-1),0)-1),0))</f>
        <v>0</v>
      </c>
      <c r="Q59" s="212">
        <f t="shared" ref="Q59" ca="1" si="110">MIN(OFFSET(L59,0,1,,L59))</f>
        <v>2</v>
      </c>
      <c r="R59" s="213">
        <f ca="1">IF($E60=0,OFFSET(ORÇAMENTO!X$15,$E59,0),IF($E60&lt;&gt;-1,OFFSET(QCI!$O$13,$E60,0),""))</f>
        <v>80780.36</v>
      </c>
      <c r="S59" s="214" t="s">
        <v>270</v>
      </c>
      <c r="T59" s="215">
        <f t="shared" ref="T59:AE59" ca="1" si="111">IF(AND($Q59=2,ACOMPANHAMENTO="BM"),T60,T61/$R59)</f>
        <v>0</v>
      </c>
      <c r="U59" s="207">
        <f t="shared" ca="1" si="111"/>
        <v>0.7</v>
      </c>
      <c r="V59" s="207">
        <f t="shared" ca="1" si="111"/>
        <v>0.3</v>
      </c>
      <c r="W59" s="207">
        <f t="shared" ca="1" si="111"/>
        <v>0</v>
      </c>
      <c r="X59" s="207">
        <f t="shared" ca="1" si="111"/>
        <v>0</v>
      </c>
      <c r="Y59" s="207">
        <f t="shared" ca="1" si="111"/>
        <v>0</v>
      </c>
      <c r="Z59" s="207">
        <f t="shared" ca="1" si="111"/>
        <v>0</v>
      </c>
      <c r="AA59" s="207">
        <f t="shared" ca="1" si="111"/>
        <v>0</v>
      </c>
      <c r="AB59" s="207">
        <f t="shared" ca="1" si="111"/>
        <v>0</v>
      </c>
      <c r="AC59" s="207">
        <f t="shared" ca="1" si="111"/>
        <v>0</v>
      </c>
      <c r="AD59" s="207">
        <f t="shared" ca="1" si="111"/>
        <v>0</v>
      </c>
      <c r="AE59" s="216">
        <f t="shared" ca="1" si="111"/>
        <v>0</v>
      </c>
    </row>
    <row r="60" spans="1:32" ht="12.75" customHeight="1" x14ac:dyDescent="0.2">
      <c r="D60" s="569"/>
      <c r="E60" s="204">
        <f ca="1">IF(ISERROR(E59),IF(1+COUNTIF($L$13:OFFSET(L59,-1,0),1)&lt;=MAX(QCI!$D$13:$D$24),1+COUNTIF($L$13:OFFSET(L59,-1,0),1),-1),0)</f>
        <v>0</v>
      </c>
      <c r="F60" s="204" t="str">
        <f t="shared" ref="F60" ca="1" si="112">IF(AND($E60&lt;&gt;-1,$R59&gt;0),"F","")</f>
        <v>F</v>
      </c>
      <c r="G60" s="217" t="str">
        <f ca="1">IF(OR(R59=0,R59=""),"vazia",IF(AND(OR(ACOMPANHAMENTO="PLE",$Q59&lt;&gt;2),$E60=0),"calculada","--&gt;"))</f>
        <v>--&gt;</v>
      </c>
      <c r="H60" s="218"/>
      <c r="I60" s="219" t="str">
        <f t="shared" ref="I60" ca="1" si="113">IF(AND(G59&lt;&gt;0,ISNUMBER(G59)),"PREENCHA ESTA LINHA --&gt;","")</f>
        <v/>
      </c>
      <c r="J60" s="219"/>
      <c r="K60" s="219"/>
      <c r="L60" s="220"/>
      <c r="M60" s="220"/>
      <c r="N60" s="220"/>
      <c r="O60" s="220"/>
      <c r="P60" s="220"/>
      <c r="Q60" s="220"/>
      <c r="R60" s="221"/>
      <c r="S60" s="222"/>
      <c r="T60" s="570"/>
      <c r="U60" s="569">
        <v>0.7</v>
      </c>
      <c r="V60" s="569">
        <v>0.3</v>
      </c>
      <c r="W60" s="569"/>
      <c r="X60" s="569"/>
      <c r="Y60" s="569"/>
      <c r="Z60" s="569"/>
      <c r="AA60" s="569"/>
      <c r="AB60" s="569"/>
      <c r="AC60" s="569"/>
      <c r="AD60" s="569"/>
      <c r="AE60" s="571"/>
      <c r="AF60" s="533"/>
    </row>
    <row r="61" spans="1:32" ht="0.2" hidden="1" customHeight="1" x14ac:dyDescent="0.2">
      <c r="D61" s="223">
        <f ca="1">IF($Q59=2,IF(AND(ACOMPANHAMENTO="PLE",ISNUMBER($E59)),SUMIF((OFFSET(CÁLCULO!$AM$15:$AW$15,$E59,0,OFFSET(ORÇAMENTO!$D$15,CRONO!$E59,0))),"="&amp;CRONO!D$12,OFFSET(CÁLCULO!$AB$15:$AL$15,$E59,0,OFFSET(ORÇAMENTO!$D$15,CRONO!$E59,0)))+IF(AND($E61&lt;&gt;"",$E61&lt;&gt;0),SUMIF(CÁLCULO!$AM$15:$AW$119,"="&amp;CRONO!D$12,CÁLCULO!$AB$15:$AL$119)/(ORÇAMENTO!$X$15-CÁLCULO.TotalAdmLocal)*CRONO!$E61,0),D60*$R59),SUMIF(OFFSET($R61,1,0,$Q59-2),($L59+1)&amp;"$",OFFSET(D61,1,0,$Q59-2)))</f>
        <v>0</v>
      </c>
      <c r="E61" s="204" t="str">
        <f ca="1">IF(OR($Q59&lt;&gt;2,AUTOEVENTO&lt;&gt;"manual",$E60&gt;0),"",SUMIF(OFFSET(CÁLCULO!$M$15,CRONO!$E59,0,OFFSET(ORÇAMENTO!$D$15,CRONO!$E59,0)),1,OFFSET(ORÇAMENTO!$X$15,CRONO!$E59,0,OFFSET(ORÇAMENTO!$D$15,CRONO!$E59,0))))</f>
        <v/>
      </c>
      <c r="G61" s="224"/>
      <c r="R61" s="225" t="str">
        <f t="shared" ref="R61" ca="1" si="114">L59&amp;"$"</f>
        <v>2$</v>
      </c>
      <c r="S61" s="226"/>
      <c r="T61" s="227">
        <f ca="1">IF($Q59=2,IF(AND(ACOMPANHAMENTO="PLE",ISNUMBER($E59)),SUMIF((OFFSET(CÁLCULO!$AM$15:$AW$15,$E59,0,OFFSET(ORÇAMENTO!$D$15,CRONO!$E59,0))),"&lt;="&amp;CRONO!T$12,OFFSET(CÁLCULO!$AB$15:$AL$15,$E59,0,OFFSET(ORÇAMENTO!$D$15,CRONO!$E59,0)))+IF(AND($E61&lt;&gt;"",$E61&lt;&gt;0),SUMIF(CÁLCULO!$AM$15:$AW$119,"&lt;="&amp;CRONO!T$12,CÁLCULO!$AB$15:$AL$119)/(ORÇAMENTO!$X$15-CÁLCULO.TotalAdmLocal)*CRONO!$E61,0),T60*$R59),SUMIF(OFFSET($R61,1,0,$Q59-2),($L59+1)&amp;"$",OFFSET(T61,1,0,$Q59-2)))</f>
        <v>0</v>
      </c>
      <c r="U61" s="223">
        <f ca="1">IF($Q59=2,IF(AND(ACOMPANHAMENTO="PLE",ISNUMBER($E59)),SUMIF((OFFSET(CÁLCULO!$AM$15:$AW$15,$E59,0,OFFSET(ORÇAMENTO!$D$15,CRONO!$E59,0))),"="&amp;CRONO!U$12,OFFSET(CÁLCULO!$AB$15:$AL$15,$E59,0,OFFSET(ORÇAMENTO!$D$15,CRONO!$E59,0)))+IF(AND($E61&lt;&gt;"",$E61&lt;&gt;0),SUMIF(CÁLCULO!$AM$15:$AW$119,"="&amp;CRONO!U$12,CÁLCULO!$AB$15:$AL$119)/(ORÇAMENTO!$X$15-CÁLCULO.TotalAdmLocal)*CRONO!$E61,0),U60*$R59),SUMIF(OFFSET($R61,1,0,$Q59-2),($L59+1)&amp;"$",OFFSET(U61,1,0,$Q59-2)))</f>
        <v>56546.252</v>
      </c>
      <c r="V61" s="223">
        <f ca="1">IF($Q59=2,IF(AND(ACOMPANHAMENTO="PLE",ISNUMBER($E59)),SUMIF((OFFSET(CÁLCULO!$AM$15:$AW$15,$E59,0,OFFSET(ORÇAMENTO!$D$15,CRONO!$E59,0))),"="&amp;CRONO!V$12,OFFSET(CÁLCULO!$AB$15:$AL$15,$E59,0,OFFSET(ORÇAMENTO!$D$15,CRONO!$E59,0)))+IF(AND($E61&lt;&gt;"",$E61&lt;&gt;0),SUMIF(CÁLCULO!$AM$15:$AW$119,"="&amp;CRONO!V$12,CÁLCULO!$AB$15:$AL$119)/(ORÇAMENTO!$X$15-CÁLCULO.TotalAdmLocal)*CRONO!$E61,0),V60*$R59),SUMIF(OFFSET($R61,1,0,$Q59-2),($L59+1)&amp;"$",OFFSET(V61,1,0,$Q59-2)))</f>
        <v>24234.108</v>
      </c>
      <c r="W61" s="223">
        <f ca="1">IF($Q59=2,IF(AND(ACOMPANHAMENTO="PLE",ISNUMBER($E59)),SUMIF((OFFSET(CÁLCULO!$AM$15:$AW$15,$E59,0,OFFSET(ORÇAMENTO!$D$15,CRONO!$E59,0))),"="&amp;CRONO!W$12,OFFSET(CÁLCULO!$AB$15:$AL$15,$E59,0,OFFSET(ORÇAMENTO!$D$15,CRONO!$E59,0)))+IF(AND($E61&lt;&gt;"",$E61&lt;&gt;0),SUMIF(CÁLCULO!$AM$15:$AW$119,"="&amp;CRONO!W$12,CÁLCULO!$AB$15:$AL$119)/(ORÇAMENTO!$X$15-CÁLCULO.TotalAdmLocal)*CRONO!$E61,0),W60*$R59),SUMIF(OFFSET($R61,1,0,$Q59-2),($L59+1)&amp;"$",OFFSET(W61,1,0,$Q59-2)))</f>
        <v>0</v>
      </c>
      <c r="X61" s="223">
        <f ca="1">IF($Q59=2,IF(AND(ACOMPANHAMENTO="PLE",ISNUMBER($E59)),SUMIF((OFFSET(CÁLCULO!$AM$15:$AW$15,$E59,0,OFFSET(ORÇAMENTO!$D$15,CRONO!$E59,0))),"="&amp;CRONO!X$12,OFFSET(CÁLCULO!$AB$15:$AL$15,$E59,0,OFFSET(ORÇAMENTO!$D$15,CRONO!$E59,0)))+IF(AND($E61&lt;&gt;"",$E61&lt;&gt;0),SUMIF(CÁLCULO!$AM$15:$AW$119,"="&amp;CRONO!X$12,CÁLCULO!$AB$15:$AL$119)/(ORÇAMENTO!$X$15-CÁLCULO.TotalAdmLocal)*CRONO!$E61,0),X60*$R59),SUMIF(OFFSET($R61,1,0,$Q59-2),($L59+1)&amp;"$",OFFSET(X61,1,0,$Q59-2)))</f>
        <v>0</v>
      </c>
      <c r="Y61" s="223">
        <f ca="1">IF($Q59=2,IF(AND(ACOMPANHAMENTO="PLE",ISNUMBER($E59)),SUMIF((OFFSET(CÁLCULO!$AM$15:$AW$15,$E59,0,OFFSET(ORÇAMENTO!$D$15,CRONO!$E59,0))),"="&amp;CRONO!Y$12,OFFSET(CÁLCULO!$AB$15:$AL$15,$E59,0,OFFSET(ORÇAMENTO!$D$15,CRONO!$E59,0)))+IF(AND($E61&lt;&gt;"",$E61&lt;&gt;0),SUMIF(CÁLCULO!$AM$15:$AW$119,"="&amp;CRONO!Y$12,CÁLCULO!$AB$15:$AL$119)/(ORÇAMENTO!$X$15-CÁLCULO.TotalAdmLocal)*CRONO!$E61,0),Y60*$R59),SUMIF(OFFSET($R61,1,0,$Q59-2),($L59+1)&amp;"$",OFFSET(Y61,1,0,$Q59-2)))</f>
        <v>0</v>
      </c>
      <c r="Z61" s="223">
        <f ca="1">IF($Q59=2,IF(AND(ACOMPANHAMENTO="PLE",ISNUMBER($E59)),SUMIF((OFFSET(CÁLCULO!$AM$15:$AW$15,$E59,0,OFFSET(ORÇAMENTO!$D$15,CRONO!$E59,0))),"="&amp;CRONO!Z$12,OFFSET(CÁLCULO!$AB$15:$AL$15,$E59,0,OFFSET(ORÇAMENTO!$D$15,CRONO!$E59,0)))+IF(AND($E61&lt;&gt;"",$E61&lt;&gt;0),SUMIF(CÁLCULO!$AM$15:$AW$119,"="&amp;CRONO!Z$12,CÁLCULO!$AB$15:$AL$119)/(ORÇAMENTO!$X$15-CÁLCULO.TotalAdmLocal)*CRONO!$E61,0),Z60*$R59),SUMIF(OFFSET($R61,1,0,$Q59-2),($L59+1)&amp;"$",OFFSET(Z61,1,0,$Q59-2)))</f>
        <v>0</v>
      </c>
      <c r="AA61" s="223">
        <f ca="1">IF($Q59=2,IF(AND(ACOMPANHAMENTO="PLE",ISNUMBER($E59)),SUMIF((OFFSET(CÁLCULO!$AM$15:$AW$15,$E59,0,OFFSET(ORÇAMENTO!$D$15,CRONO!$E59,0))),"="&amp;CRONO!AA$12,OFFSET(CÁLCULO!$AB$15:$AL$15,$E59,0,OFFSET(ORÇAMENTO!$D$15,CRONO!$E59,0)))+IF(AND($E61&lt;&gt;"",$E61&lt;&gt;0),SUMIF(CÁLCULO!$AM$15:$AW$119,"="&amp;CRONO!AA$12,CÁLCULO!$AB$15:$AL$119)/(ORÇAMENTO!$X$15-CÁLCULO.TotalAdmLocal)*CRONO!$E61,0),AA60*$R59),SUMIF(OFFSET($R61,1,0,$Q59-2),($L59+1)&amp;"$",OFFSET(AA61,1,0,$Q59-2)))</f>
        <v>0</v>
      </c>
      <c r="AB61" s="223">
        <f ca="1">IF($Q59=2,IF(AND(ACOMPANHAMENTO="PLE",ISNUMBER($E59)),SUMIF((OFFSET(CÁLCULO!$AM$15:$AW$15,$E59,0,OFFSET(ORÇAMENTO!$D$15,CRONO!$E59,0))),"="&amp;CRONO!AB$12,OFFSET(CÁLCULO!$AB$15:$AL$15,$E59,0,OFFSET(ORÇAMENTO!$D$15,CRONO!$E59,0)))+IF(AND($E61&lt;&gt;"",$E61&lt;&gt;0),SUMIF(CÁLCULO!$AM$15:$AW$119,"="&amp;CRONO!AB$12,CÁLCULO!$AB$15:$AL$119)/(ORÇAMENTO!$X$15-CÁLCULO.TotalAdmLocal)*CRONO!$E61,0),AB60*$R59),SUMIF(OFFSET($R61,1,0,$Q59-2),($L59+1)&amp;"$",OFFSET(AB61,1,0,$Q59-2)))</f>
        <v>0</v>
      </c>
      <c r="AC61" s="223">
        <f ca="1">IF($Q59=2,IF(AND(ACOMPANHAMENTO="PLE",ISNUMBER($E59)),SUMIF((OFFSET(CÁLCULO!$AM$15:$AW$15,$E59,0,OFFSET(ORÇAMENTO!$D$15,CRONO!$E59,0))),"="&amp;CRONO!AC$12,OFFSET(CÁLCULO!$AB$15:$AL$15,$E59,0,OFFSET(ORÇAMENTO!$D$15,CRONO!$E59,0)))+IF(AND($E61&lt;&gt;"",$E61&lt;&gt;0),SUMIF(CÁLCULO!$AM$15:$AW$119,"="&amp;CRONO!AC$12,CÁLCULO!$AB$15:$AL$119)/(ORÇAMENTO!$X$15-CÁLCULO.TotalAdmLocal)*CRONO!$E61,0),AC60*$R59),SUMIF(OFFSET($R61,1,0,$Q59-2),($L59+1)&amp;"$",OFFSET(AC61,1,0,$Q59-2)))</f>
        <v>0</v>
      </c>
      <c r="AD61" s="223">
        <f ca="1">IF($Q59=2,IF(AND(ACOMPANHAMENTO="PLE",ISNUMBER($E59)),SUMIF((OFFSET(CÁLCULO!$AM$15:$AW$15,$E59,0,OFFSET(ORÇAMENTO!$D$15,CRONO!$E59,0))),"="&amp;CRONO!AD$12,OFFSET(CÁLCULO!$AB$15:$AL$15,$E59,0,OFFSET(ORÇAMENTO!$D$15,CRONO!$E59,0)))+IF(AND($E61&lt;&gt;"",$E61&lt;&gt;0),SUMIF(CÁLCULO!$AM$15:$AW$119,"="&amp;CRONO!AD$12,CÁLCULO!$AB$15:$AL$119)/(ORÇAMENTO!$X$15-CÁLCULO.TotalAdmLocal)*CRONO!$E61,0),AD60*$R59),SUMIF(OFFSET($R61,1,0,$Q59-2),($L59+1)&amp;"$",OFFSET(AD61,1,0,$Q59-2)))</f>
        <v>0</v>
      </c>
      <c r="AE61" s="228">
        <f ca="1">IF($Q59=2,IF(AND(ACOMPANHAMENTO="PLE",ISNUMBER($E59)),SUMIF((OFFSET(CÁLCULO!$AM$15:$AW$15,$E59,0,OFFSET(ORÇAMENTO!$D$15,CRONO!$E59,0))),"="&amp;CRONO!AE$12,OFFSET(CÁLCULO!$AB$15:$AL$15,$E59,0,OFFSET(ORÇAMENTO!$D$15,CRONO!$E59,0)))+IF(AND($E61&lt;&gt;"",$E61&lt;&gt;0),SUMIF(CÁLCULO!$AM$15:$AW$119,"="&amp;CRONO!AE$12,CÁLCULO!$AB$15:$AL$119)/(ORÇAMENTO!$X$15-CÁLCULO.TotalAdmLocal)*CRONO!$E61,0),AE60*$R59),SUMIF(OFFSET($R61,1,0,$Q59-2),($L59+1)&amp;"$",OFFSET(AE61,1,0,$Q59-2)))</f>
        <v>0</v>
      </c>
    </row>
    <row r="62" spans="1:32" x14ac:dyDescent="0.2">
      <c r="A62" s="204">
        <f t="shared" ref="A62" ca="1" si="115">OFFSET(A62,-3,0)+1</f>
        <v>17</v>
      </c>
      <c r="B62" s="204">
        <f ca="1">IF($Q62&lt;&gt;2,0,IF($R62=0,1,IF(E63&gt;0,OFFSET(QCI!$M$13,SUBSTITUTE(E63,".",""),0),OFFSET(ORÇAMENTO!$AA$15,CRONO!$E62,0))/$R62))</f>
        <v>1</v>
      </c>
      <c r="C62" s="204">
        <f ca="1">IF($Q62&lt;&gt;2,0,IF($R62=0,1,IF(E63&gt;0,OFFSET(QCI!$N$13,SUBSTITUTE(E63,".",""),0),OFFSET(ORÇAMENTO!$AB$15,CRONO!$E62,0))/$R62))</f>
        <v>0</v>
      </c>
      <c r="D62" s="207">
        <f ca="1">IF(AND($Q62=2,ACOMPANHAMENTO="BM"),D63,D64/$R62)</f>
        <v>0</v>
      </c>
      <c r="E62" s="204">
        <f ca="1">IF(A62&lt;=ORÇAMENTO.MáximoListaCrono,MATCH(A62,ORÇAMENTO.ListaCrono,0),NA())</f>
        <v>89</v>
      </c>
      <c r="F62" s="204" t="str">
        <f t="shared" ref="F62" ca="1" si="116">IF(AND($E63&lt;&gt;-1,$R62&gt;0),"F","")</f>
        <v>F</v>
      </c>
      <c r="G62" s="208">
        <f ca="1">IF(OR(R62=0,R62=""),"Linha",IF(AND(OR(ACOMPANHAMENTO="PLE",$Q62&lt;&gt;2),$E63=0),"Linha",1-SUM(T62:AF62)))</f>
        <v>0</v>
      </c>
      <c r="H62" s="209" t="str">
        <f ca="1">IF($E63=0,OFFSET(ORÇAMENTO!O$15,$E62,0),IF($E63&lt;&gt;-1,OFFSET(QCI!$D$13,$E63,0),""))</f>
        <v>3.4.</v>
      </c>
      <c r="I62" s="210" t="str">
        <f ca="1">IF($E63=0,OFFSET(ORÇAMENTO!R$15,$E62,0),IF($E63&lt;&gt;-1,OFFSET(QCI!$G$13,$E63,0),""))</f>
        <v>PAVIMENTAÇÃO</v>
      </c>
      <c r="J62" s="210"/>
      <c r="K62" s="210"/>
      <c r="L62" s="211">
        <f ca="1">IF($E63=0,OFFSET(ORÇAMENTO!C$15,$E62,0),1)</f>
        <v>2</v>
      </c>
      <c r="M62" s="212">
        <f t="shared" ref="M62" ca="1" si="117">IF($E63=-1,0,IF(M$13&lt;=$L62,IF(ISERROR(MATCH(M$13,OFFSET($L62,1,0,ROW($L$68)-ROW($L62)-1),0)),ROW($L$68)-ROW($L62)-1,MATCH(M$13,OFFSET($L62,1,0,ROW($L$68)-ROW($L62)-1),0)-1),0))</f>
        <v>5</v>
      </c>
      <c r="N62" s="212">
        <f t="shared" ref="N62" ca="1" si="118">IF($E63=-1,0,IF(N$13&lt;=$L62,IF(ISERROR(MATCH(N$13,OFFSET($L62,1,0,ROW($L$68)-ROW($L62)-1),0)),ROW($L$68)-ROW($L62)-1,MATCH(N$13,OFFSET($L62,1,0,ROW($L$68)-ROW($L62)-1),0)-1),0))</f>
        <v>2</v>
      </c>
      <c r="O62" s="212">
        <f t="shared" ref="O62" ca="1" si="119">IF($E63=-1,0,IF(O$13&lt;=$L62,IF(ISERROR(MATCH(O$13,OFFSET($L62,1,0,ROW($L$68)-ROW($L62)-1),0)),ROW($L$68)-ROW($L62)-1,MATCH(O$13,OFFSET($L62,1,0,ROW($L$68)-ROW($L62)-1),0)-1),0))</f>
        <v>0</v>
      </c>
      <c r="P62" s="212">
        <f t="shared" ref="P62" ca="1" si="120">IF($E63=-1,0,IF(P$13&lt;=$L62,IF(ISERROR(MATCH(P$13,OFFSET($L62,1,0,ROW($L$68)-ROW($L62)-1),0)),ROW($L$68)-ROW($L62)-1,MATCH(P$13,OFFSET($L62,1,0,ROW($L$68)-ROW($L62)-1),0)-1),0))</f>
        <v>0</v>
      </c>
      <c r="Q62" s="212">
        <f t="shared" ref="Q62" ca="1" si="121">MIN(OFFSET(L62,0,1,,L62))</f>
        <v>2</v>
      </c>
      <c r="R62" s="213">
        <f ca="1">IF($E63=0,OFFSET(ORÇAMENTO!X$15,$E62,0),IF($E63&lt;&gt;-1,OFFSET(QCI!$O$13,$E63,0),""))</f>
        <v>268475.01</v>
      </c>
      <c r="S62" s="214" t="s">
        <v>270</v>
      </c>
      <c r="T62" s="215">
        <f t="shared" ref="T62:AE62" ca="1" si="122">IF(AND($Q62=2,ACOMPANHAMENTO="BM"),T63,T64/$R62)</f>
        <v>0</v>
      </c>
      <c r="U62" s="207">
        <f t="shared" ca="1" si="122"/>
        <v>0</v>
      </c>
      <c r="V62" s="207">
        <f t="shared" ca="1" si="122"/>
        <v>0</v>
      </c>
      <c r="W62" s="207">
        <f t="shared" ca="1" si="122"/>
        <v>1</v>
      </c>
      <c r="X62" s="207">
        <f t="shared" ca="1" si="122"/>
        <v>0</v>
      </c>
      <c r="Y62" s="207">
        <f t="shared" ca="1" si="122"/>
        <v>0</v>
      </c>
      <c r="Z62" s="207">
        <f t="shared" ca="1" si="122"/>
        <v>0</v>
      </c>
      <c r="AA62" s="207">
        <f t="shared" ca="1" si="122"/>
        <v>0</v>
      </c>
      <c r="AB62" s="207">
        <f t="shared" ca="1" si="122"/>
        <v>0</v>
      </c>
      <c r="AC62" s="207">
        <f t="shared" ca="1" si="122"/>
        <v>0</v>
      </c>
      <c r="AD62" s="207">
        <f t="shared" ca="1" si="122"/>
        <v>0</v>
      </c>
      <c r="AE62" s="216">
        <f t="shared" ca="1" si="122"/>
        <v>0</v>
      </c>
    </row>
    <row r="63" spans="1:32" ht="12.75" customHeight="1" x14ac:dyDescent="0.2">
      <c r="D63" s="569"/>
      <c r="E63" s="204">
        <f ca="1">IF(ISERROR(E62),IF(1+COUNTIF($L$13:OFFSET(L62,-1,0),1)&lt;=MAX(QCI!$D$13:$D$24),1+COUNTIF($L$13:OFFSET(L62,-1,0),1),-1),0)</f>
        <v>0</v>
      </c>
      <c r="F63" s="204" t="str">
        <f t="shared" ref="F63" ca="1" si="123">IF(AND($E63&lt;&gt;-1,$R62&gt;0),"F","")</f>
        <v>F</v>
      </c>
      <c r="G63" s="217" t="str">
        <f ca="1">IF(OR(R62=0,R62=""),"vazia",IF(AND(OR(ACOMPANHAMENTO="PLE",$Q62&lt;&gt;2),$E63=0),"calculada","--&gt;"))</f>
        <v>--&gt;</v>
      </c>
      <c r="H63" s="218"/>
      <c r="I63" s="219" t="str">
        <f t="shared" ref="I63" ca="1" si="124">IF(AND(G62&lt;&gt;0,ISNUMBER(G62)),"PREENCHA ESTA LINHA --&gt;","")</f>
        <v/>
      </c>
      <c r="J63" s="219"/>
      <c r="K63" s="219"/>
      <c r="L63" s="220"/>
      <c r="M63" s="220"/>
      <c r="N63" s="220"/>
      <c r="O63" s="220"/>
      <c r="P63" s="220"/>
      <c r="Q63" s="220"/>
      <c r="R63" s="221"/>
      <c r="S63" s="222"/>
      <c r="T63" s="570"/>
      <c r="U63" s="569"/>
      <c r="V63" s="569"/>
      <c r="W63" s="569">
        <v>1</v>
      </c>
      <c r="X63" s="569"/>
      <c r="Y63" s="569"/>
      <c r="Z63" s="569"/>
      <c r="AA63" s="569"/>
      <c r="AB63" s="569"/>
      <c r="AC63" s="569"/>
      <c r="AD63" s="569"/>
      <c r="AE63" s="571"/>
      <c r="AF63" s="533"/>
    </row>
    <row r="64" spans="1:32" ht="0.2" hidden="1" customHeight="1" x14ac:dyDescent="0.2">
      <c r="D64" s="223">
        <f ca="1">IF($Q62=2,IF(AND(ACOMPANHAMENTO="PLE",ISNUMBER($E62)),SUMIF((OFFSET(CÁLCULO!$AM$15:$AW$15,$E62,0,OFFSET(ORÇAMENTO!$D$15,CRONO!$E62,0))),"="&amp;CRONO!D$12,OFFSET(CÁLCULO!$AB$15:$AL$15,$E62,0,OFFSET(ORÇAMENTO!$D$15,CRONO!$E62,0)))+IF(AND($E64&lt;&gt;"",$E64&lt;&gt;0),SUMIF(CÁLCULO!$AM$15:$AW$119,"="&amp;CRONO!D$12,CÁLCULO!$AB$15:$AL$119)/(ORÇAMENTO!$X$15-CÁLCULO.TotalAdmLocal)*CRONO!$E64,0),D63*$R62),SUMIF(OFFSET($R64,1,0,$Q62-2),($L62+1)&amp;"$",OFFSET(D64,1,0,$Q62-2)))</f>
        <v>0</v>
      </c>
      <c r="E64" s="204" t="str">
        <f ca="1">IF(OR($Q62&lt;&gt;2,AUTOEVENTO&lt;&gt;"manual",$E63&gt;0),"",SUMIF(OFFSET(CÁLCULO!$M$15,CRONO!$E62,0,OFFSET(ORÇAMENTO!$D$15,CRONO!$E62,0)),1,OFFSET(ORÇAMENTO!$X$15,CRONO!$E62,0,OFFSET(ORÇAMENTO!$D$15,CRONO!$E62,0))))</f>
        <v/>
      </c>
      <c r="G64" s="224"/>
      <c r="R64" s="225" t="str">
        <f t="shared" ref="R64" ca="1" si="125">L62&amp;"$"</f>
        <v>2$</v>
      </c>
      <c r="S64" s="226"/>
      <c r="T64" s="227">
        <f ca="1">IF($Q62=2,IF(AND(ACOMPANHAMENTO="PLE",ISNUMBER($E62)),SUMIF((OFFSET(CÁLCULO!$AM$15:$AW$15,$E62,0,OFFSET(ORÇAMENTO!$D$15,CRONO!$E62,0))),"&lt;="&amp;CRONO!T$12,OFFSET(CÁLCULO!$AB$15:$AL$15,$E62,0,OFFSET(ORÇAMENTO!$D$15,CRONO!$E62,0)))+IF(AND($E64&lt;&gt;"",$E64&lt;&gt;0),SUMIF(CÁLCULO!$AM$15:$AW$119,"&lt;="&amp;CRONO!T$12,CÁLCULO!$AB$15:$AL$119)/(ORÇAMENTO!$X$15-CÁLCULO.TotalAdmLocal)*CRONO!$E64,0),T63*$R62),SUMIF(OFFSET($R64,1,0,$Q62-2),($L62+1)&amp;"$",OFFSET(T64,1,0,$Q62-2)))</f>
        <v>0</v>
      </c>
      <c r="U64" s="223">
        <f ca="1">IF($Q62=2,IF(AND(ACOMPANHAMENTO="PLE",ISNUMBER($E62)),SUMIF((OFFSET(CÁLCULO!$AM$15:$AW$15,$E62,0,OFFSET(ORÇAMENTO!$D$15,CRONO!$E62,0))),"="&amp;CRONO!U$12,OFFSET(CÁLCULO!$AB$15:$AL$15,$E62,0,OFFSET(ORÇAMENTO!$D$15,CRONO!$E62,0)))+IF(AND($E64&lt;&gt;"",$E64&lt;&gt;0),SUMIF(CÁLCULO!$AM$15:$AW$119,"="&amp;CRONO!U$12,CÁLCULO!$AB$15:$AL$119)/(ORÇAMENTO!$X$15-CÁLCULO.TotalAdmLocal)*CRONO!$E64,0),U63*$R62),SUMIF(OFFSET($R64,1,0,$Q62-2),($L62+1)&amp;"$",OFFSET(U64,1,0,$Q62-2)))</f>
        <v>0</v>
      </c>
      <c r="V64" s="223">
        <f ca="1">IF($Q62=2,IF(AND(ACOMPANHAMENTO="PLE",ISNUMBER($E62)),SUMIF((OFFSET(CÁLCULO!$AM$15:$AW$15,$E62,0,OFFSET(ORÇAMENTO!$D$15,CRONO!$E62,0))),"="&amp;CRONO!V$12,OFFSET(CÁLCULO!$AB$15:$AL$15,$E62,0,OFFSET(ORÇAMENTO!$D$15,CRONO!$E62,0)))+IF(AND($E64&lt;&gt;"",$E64&lt;&gt;0),SUMIF(CÁLCULO!$AM$15:$AW$119,"="&amp;CRONO!V$12,CÁLCULO!$AB$15:$AL$119)/(ORÇAMENTO!$X$15-CÁLCULO.TotalAdmLocal)*CRONO!$E64,0),V63*$R62),SUMIF(OFFSET($R64,1,0,$Q62-2),($L62+1)&amp;"$",OFFSET(V64,1,0,$Q62-2)))</f>
        <v>0</v>
      </c>
      <c r="W64" s="223">
        <f ca="1">IF($Q62=2,IF(AND(ACOMPANHAMENTO="PLE",ISNUMBER($E62)),SUMIF((OFFSET(CÁLCULO!$AM$15:$AW$15,$E62,0,OFFSET(ORÇAMENTO!$D$15,CRONO!$E62,0))),"="&amp;CRONO!W$12,OFFSET(CÁLCULO!$AB$15:$AL$15,$E62,0,OFFSET(ORÇAMENTO!$D$15,CRONO!$E62,0)))+IF(AND($E64&lt;&gt;"",$E64&lt;&gt;0),SUMIF(CÁLCULO!$AM$15:$AW$119,"="&amp;CRONO!W$12,CÁLCULO!$AB$15:$AL$119)/(ORÇAMENTO!$X$15-CÁLCULO.TotalAdmLocal)*CRONO!$E64,0),W63*$R62),SUMIF(OFFSET($R64,1,0,$Q62-2),($L62+1)&amp;"$",OFFSET(W64,1,0,$Q62-2)))</f>
        <v>268475.01</v>
      </c>
      <c r="X64" s="223">
        <f ca="1">IF($Q62=2,IF(AND(ACOMPANHAMENTO="PLE",ISNUMBER($E62)),SUMIF((OFFSET(CÁLCULO!$AM$15:$AW$15,$E62,0,OFFSET(ORÇAMENTO!$D$15,CRONO!$E62,0))),"="&amp;CRONO!X$12,OFFSET(CÁLCULO!$AB$15:$AL$15,$E62,0,OFFSET(ORÇAMENTO!$D$15,CRONO!$E62,0)))+IF(AND($E64&lt;&gt;"",$E64&lt;&gt;0),SUMIF(CÁLCULO!$AM$15:$AW$119,"="&amp;CRONO!X$12,CÁLCULO!$AB$15:$AL$119)/(ORÇAMENTO!$X$15-CÁLCULO.TotalAdmLocal)*CRONO!$E64,0),X63*$R62),SUMIF(OFFSET($R64,1,0,$Q62-2),($L62+1)&amp;"$",OFFSET(X64,1,0,$Q62-2)))</f>
        <v>0</v>
      </c>
      <c r="Y64" s="223">
        <f ca="1">IF($Q62=2,IF(AND(ACOMPANHAMENTO="PLE",ISNUMBER($E62)),SUMIF((OFFSET(CÁLCULO!$AM$15:$AW$15,$E62,0,OFFSET(ORÇAMENTO!$D$15,CRONO!$E62,0))),"="&amp;CRONO!Y$12,OFFSET(CÁLCULO!$AB$15:$AL$15,$E62,0,OFFSET(ORÇAMENTO!$D$15,CRONO!$E62,0)))+IF(AND($E64&lt;&gt;"",$E64&lt;&gt;0),SUMIF(CÁLCULO!$AM$15:$AW$119,"="&amp;CRONO!Y$12,CÁLCULO!$AB$15:$AL$119)/(ORÇAMENTO!$X$15-CÁLCULO.TotalAdmLocal)*CRONO!$E64,0),Y63*$R62),SUMIF(OFFSET($R64,1,0,$Q62-2),($L62+1)&amp;"$",OFFSET(Y64,1,0,$Q62-2)))</f>
        <v>0</v>
      </c>
      <c r="Z64" s="223">
        <f ca="1">IF($Q62=2,IF(AND(ACOMPANHAMENTO="PLE",ISNUMBER($E62)),SUMIF((OFFSET(CÁLCULO!$AM$15:$AW$15,$E62,0,OFFSET(ORÇAMENTO!$D$15,CRONO!$E62,0))),"="&amp;CRONO!Z$12,OFFSET(CÁLCULO!$AB$15:$AL$15,$E62,0,OFFSET(ORÇAMENTO!$D$15,CRONO!$E62,0)))+IF(AND($E64&lt;&gt;"",$E64&lt;&gt;0),SUMIF(CÁLCULO!$AM$15:$AW$119,"="&amp;CRONO!Z$12,CÁLCULO!$AB$15:$AL$119)/(ORÇAMENTO!$X$15-CÁLCULO.TotalAdmLocal)*CRONO!$E64,0),Z63*$R62),SUMIF(OFFSET($R64,1,0,$Q62-2),($L62+1)&amp;"$",OFFSET(Z64,1,0,$Q62-2)))</f>
        <v>0</v>
      </c>
      <c r="AA64" s="223">
        <f ca="1">IF($Q62=2,IF(AND(ACOMPANHAMENTO="PLE",ISNUMBER($E62)),SUMIF((OFFSET(CÁLCULO!$AM$15:$AW$15,$E62,0,OFFSET(ORÇAMENTO!$D$15,CRONO!$E62,0))),"="&amp;CRONO!AA$12,OFFSET(CÁLCULO!$AB$15:$AL$15,$E62,0,OFFSET(ORÇAMENTO!$D$15,CRONO!$E62,0)))+IF(AND($E64&lt;&gt;"",$E64&lt;&gt;0),SUMIF(CÁLCULO!$AM$15:$AW$119,"="&amp;CRONO!AA$12,CÁLCULO!$AB$15:$AL$119)/(ORÇAMENTO!$X$15-CÁLCULO.TotalAdmLocal)*CRONO!$E64,0),AA63*$R62),SUMIF(OFFSET($R64,1,0,$Q62-2),($L62+1)&amp;"$",OFFSET(AA64,1,0,$Q62-2)))</f>
        <v>0</v>
      </c>
      <c r="AB64" s="223">
        <f ca="1">IF($Q62=2,IF(AND(ACOMPANHAMENTO="PLE",ISNUMBER($E62)),SUMIF((OFFSET(CÁLCULO!$AM$15:$AW$15,$E62,0,OFFSET(ORÇAMENTO!$D$15,CRONO!$E62,0))),"="&amp;CRONO!AB$12,OFFSET(CÁLCULO!$AB$15:$AL$15,$E62,0,OFFSET(ORÇAMENTO!$D$15,CRONO!$E62,0)))+IF(AND($E64&lt;&gt;"",$E64&lt;&gt;0),SUMIF(CÁLCULO!$AM$15:$AW$119,"="&amp;CRONO!AB$12,CÁLCULO!$AB$15:$AL$119)/(ORÇAMENTO!$X$15-CÁLCULO.TotalAdmLocal)*CRONO!$E64,0),AB63*$R62),SUMIF(OFFSET($R64,1,0,$Q62-2),($L62+1)&amp;"$",OFFSET(AB64,1,0,$Q62-2)))</f>
        <v>0</v>
      </c>
      <c r="AC64" s="223">
        <f ca="1">IF($Q62=2,IF(AND(ACOMPANHAMENTO="PLE",ISNUMBER($E62)),SUMIF((OFFSET(CÁLCULO!$AM$15:$AW$15,$E62,0,OFFSET(ORÇAMENTO!$D$15,CRONO!$E62,0))),"="&amp;CRONO!AC$12,OFFSET(CÁLCULO!$AB$15:$AL$15,$E62,0,OFFSET(ORÇAMENTO!$D$15,CRONO!$E62,0)))+IF(AND($E64&lt;&gt;"",$E64&lt;&gt;0),SUMIF(CÁLCULO!$AM$15:$AW$119,"="&amp;CRONO!AC$12,CÁLCULO!$AB$15:$AL$119)/(ORÇAMENTO!$X$15-CÁLCULO.TotalAdmLocal)*CRONO!$E64,0),AC63*$R62),SUMIF(OFFSET($R64,1,0,$Q62-2),($L62+1)&amp;"$",OFFSET(AC64,1,0,$Q62-2)))</f>
        <v>0</v>
      </c>
      <c r="AD64" s="223">
        <f ca="1">IF($Q62=2,IF(AND(ACOMPANHAMENTO="PLE",ISNUMBER($E62)),SUMIF((OFFSET(CÁLCULO!$AM$15:$AW$15,$E62,0,OFFSET(ORÇAMENTO!$D$15,CRONO!$E62,0))),"="&amp;CRONO!AD$12,OFFSET(CÁLCULO!$AB$15:$AL$15,$E62,0,OFFSET(ORÇAMENTO!$D$15,CRONO!$E62,0)))+IF(AND($E64&lt;&gt;"",$E64&lt;&gt;0),SUMIF(CÁLCULO!$AM$15:$AW$119,"="&amp;CRONO!AD$12,CÁLCULO!$AB$15:$AL$119)/(ORÇAMENTO!$X$15-CÁLCULO.TotalAdmLocal)*CRONO!$E64,0),AD63*$R62),SUMIF(OFFSET($R64,1,0,$Q62-2),($L62+1)&amp;"$",OFFSET(AD64,1,0,$Q62-2)))</f>
        <v>0</v>
      </c>
      <c r="AE64" s="228">
        <f ca="1">IF($Q62=2,IF(AND(ACOMPANHAMENTO="PLE",ISNUMBER($E62)),SUMIF((OFFSET(CÁLCULO!$AM$15:$AW$15,$E62,0,OFFSET(ORÇAMENTO!$D$15,CRONO!$E62,0))),"="&amp;CRONO!AE$12,OFFSET(CÁLCULO!$AB$15:$AL$15,$E62,0,OFFSET(ORÇAMENTO!$D$15,CRONO!$E62,0)))+IF(AND($E64&lt;&gt;"",$E64&lt;&gt;0),SUMIF(CÁLCULO!$AM$15:$AW$119,"="&amp;CRONO!AE$12,CÁLCULO!$AB$15:$AL$119)/(ORÇAMENTO!$X$15-CÁLCULO.TotalAdmLocal)*CRONO!$E64,0),AE63*$R62),SUMIF(OFFSET($R64,1,0,$Q62-2),($L62+1)&amp;"$",OFFSET(AE64,1,0,$Q62-2)))</f>
        <v>0</v>
      </c>
    </row>
    <row r="65" spans="1:32" x14ac:dyDescent="0.2">
      <c r="A65" s="204">
        <f t="shared" ref="A65" ca="1" si="126">OFFSET(A65,-3,0)+1</f>
        <v>18</v>
      </c>
      <c r="B65" s="204">
        <f ca="1">IF($Q65&lt;&gt;2,0,IF($R65=0,1,IF(E66&gt;0,OFFSET(QCI!$M$13,SUBSTITUTE(E66,".",""),0),OFFSET(ORÇAMENTO!$AA$15,CRONO!$E65,0))/$R65))</f>
        <v>1</v>
      </c>
      <c r="C65" s="204">
        <f ca="1">IF($Q65&lt;&gt;2,0,IF($R65=0,1,IF(E66&gt;0,OFFSET(QCI!$N$13,SUBSTITUTE(E66,".",""),0),OFFSET(ORÇAMENTO!$AB$15,CRONO!$E65,0))/$R65))</f>
        <v>0</v>
      </c>
      <c r="D65" s="207">
        <f ca="1">IF(AND($Q65=2,ACOMPANHAMENTO="BM"),D66,D67/$R65)</f>
        <v>0</v>
      </c>
      <c r="E65" s="204">
        <f ca="1">IF(A65&lt;=ORÇAMENTO.MáximoListaCrono,MATCH(A65,ORÇAMENTO.ListaCrono,0),NA())</f>
        <v>98</v>
      </c>
      <c r="F65" s="204" t="str">
        <f t="shared" ref="F65" ca="1" si="127">IF(AND($E66&lt;&gt;-1,$R65&gt;0),"F","")</f>
        <v>F</v>
      </c>
      <c r="G65" s="208">
        <f ca="1">IF(OR(R65=0,R65=""),"Linha",IF(AND(OR(ACOMPANHAMENTO="PLE",$Q65&lt;&gt;2),$E66=0),"Linha",1-SUM(T65:AF65)))</f>
        <v>0</v>
      </c>
      <c r="H65" s="209" t="str">
        <f ca="1">IF($E66=0,OFFSET(ORÇAMENTO!O$15,$E65,0),IF($E66&lt;&gt;-1,OFFSET(QCI!$D$13,$E66,0),""))</f>
        <v>3.5.</v>
      </c>
      <c r="I65" s="210" t="str">
        <f ca="1">IF($E66=0,OFFSET(ORÇAMENTO!R$15,$E65,0),IF($E66&lt;&gt;-1,OFFSET(QCI!$G$13,$E66,0),""))</f>
        <v>SINALIZAÇÃO</v>
      </c>
      <c r="J65" s="210"/>
      <c r="K65" s="210"/>
      <c r="L65" s="211">
        <f ca="1">IF($E66=0,OFFSET(ORÇAMENTO!C$15,$E65,0),1)</f>
        <v>2</v>
      </c>
      <c r="M65" s="212">
        <f t="shared" ref="M65" ca="1" si="128">IF($E66=-1,0,IF(M$13&lt;=$L65,IF(ISERROR(MATCH(M$13,OFFSET($L65,1,0,ROW($L$68)-ROW($L65)-1),0)),ROW($L$68)-ROW($L65)-1,MATCH(M$13,OFFSET($L65,1,0,ROW($L$68)-ROW($L65)-1),0)-1),0))</f>
        <v>2</v>
      </c>
      <c r="N65" s="212">
        <f t="shared" ref="N65" ca="1" si="129">IF($E66=-1,0,IF(N$13&lt;=$L65,IF(ISERROR(MATCH(N$13,OFFSET($L65,1,0,ROW($L$68)-ROW($L65)-1),0)),ROW($L$68)-ROW($L65)-1,MATCH(N$13,OFFSET($L65,1,0,ROW($L$68)-ROW($L65)-1),0)-1),0))</f>
        <v>2</v>
      </c>
      <c r="O65" s="212">
        <f t="shared" ref="O65" ca="1" si="130">IF($E66=-1,0,IF(O$13&lt;=$L65,IF(ISERROR(MATCH(O$13,OFFSET($L65,1,0,ROW($L$68)-ROW($L65)-1),0)),ROW($L$68)-ROW($L65)-1,MATCH(O$13,OFFSET($L65,1,0,ROW($L$68)-ROW($L65)-1),0)-1),0))</f>
        <v>0</v>
      </c>
      <c r="P65" s="212">
        <f t="shared" ref="P65" ca="1" si="131">IF($E66=-1,0,IF(P$13&lt;=$L65,IF(ISERROR(MATCH(P$13,OFFSET($L65,1,0,ROW($L$68)-ROW($L65)-1),0)),ROW($L$68)-ROW($L65)-1,MATCH(P$13,OFFSET($L65,1,0,ROW($L$68)-ROW($L65)-1),0)-1),0))</f>
        <v>0</v>
      </c>
      <c r="Q65" s="212">
        <f t="shared" ref="Q65" ca="1" si="132">MIN(OFFSET(L65,0,1,,L65))</f>
        <v>2</v>
      </c>
      <c r="R65" s="213">
        <f ca="1">IF($E66=0,OFFSET(ORÇAMENTO!X$15,$E65,0),IF($E66&lt;&gt;-1,OFFSET(QCI!$O$13,$E66,0),""))</f>
        <v>9427.4699999999993</v>
      </c>
      <c r="S65" s="214" t="s">
        <v>270</v>
      </c>
      <c r="T65" s="215">
        <f t="shared" ref="T65:AE65" ca="1" si="133">IF(AND($Q65=2,ACOMPANHAMENTO="BM"),T66,T67/$R65)</f>
        <v>0</v>
      </c>
      <c r="U65" s="207">
        <f t="shared" ca="1" si="133"/>
        <v>0</v>
      </c>
      <c r="V65" s="207">
        <f t="shared" ca="1" si="133"/>
        <v>0</v>
      </c>
      <c r="W65" s="207">
        <f t="shared" ca="1" si="133"/>
        <v>1</v>
      </c>
      <c r="X65" s="207">
        <f t="shared" ca="1" si="133"/>
        <v>0</v>
      </c>
      <c r="Y65" s="207">
        <f t="shared" ca="1" si="133"/>
        <v>0</v>
      </c>
      <c r="Z65" s="207">
        <f t="shared" ca="1" si="133"/>
        <v>0</v>
      </c>
      <c r="AA65" s="207">
        <f t="shared" ca="1" si="133"/>
        <v>0</v>
      </c>
      <c r="AB65" s="207">
        <f t="shared" ca="1" si="133"/>
        <v>0</v>
      </c>
      <c r="AC65" s="207">
        <f t="shared" ca="1" si="133"/>
        <v>0</v>
      </c>
      <c r="AD65" s="207">
        <f t="shared" ca="1" si="133"/>
        <v>0</v>
      </c>
      <c r="AE65" s="216">
        <f t="shared" ca="1" si="133"/>
        <v>0</v>
      </c>
    </row>
    <row r="66" spans="1:32" ht="12.75" customHeight="1" x14ac:dyDescent="0.2">
      <c r="D66" s="569"/>
      <c r="E66" s="204">
        <f ca="1">IF(ISERROR(E65),IF(1+COUNTIF($L$13:OFFSET(L65,-1,0),1)&lt;=MAX(QCI!$D$13:$D$24),1+COUNTIF($L$13:OFFSET(L65,-1,0),1),-1),0)</f>
        <v>0</v>
      </c>
      <c r="F66" s="204" t="str">
        <f t="shared" ref="F66" ca="1" si="134">IF(AND($E66&lt;&gt;-1,$R65&gt;0),"F","")</f>
        <v>F</v>
      </c>
      <c r="G66" s="217" t="str">
        <f ca="1">IF(OR(R65=0,R65=""),"vazia",IF(AND(OR(ACOMPANHAMENTO="PLE",$Q65&lt;&gt;2),$E66=0),"calculada","--&gt;"))</f>
        <v>--&gt;</v>
      </c>
      <c r="H66" s="218"/>
      <c r="I66" s="219" t="str">
        <f t="shared" ref="I66" ca="1" si="135">IF(AND(G65&lt;&gt;0,ISNUMBER(G65)),"PREENCHA ESTA LINHA --&gt;","")</f>
        <v/>
      </c>
      <c r="J66" s="219"/>
      <c r="K66" s="219"/>
      <c r="L66" s="220"/>
      <c r="M66" s="220"/>
      <c r="N66" s="220"/>
      <c r="O66" s="220"/>
      <c r="P66" s="220"/>
      <c r="Q66" s="220"/>
      <c r="R66" s="221"/>
      <c r="S66" s="222"/>
      <c r="T66" s="570"/>
      <c r="U66" s="569"/>
      <c r="V66" s="569"/>
      <c r="W66" s="569">
        <v>1</v>
      </c>
      <c r="X66" s="569"/>
      <c r="Y66" s="569"/>
      <c r="Z66" s="569"/>
      <c r="AA66" s="569"/>
      <c r="AB66" s="569"/>
      <c r="AC66" s="569"/>
      <c r="AD66" s="569"/>
      <c r="AE66" s="571"/>
      <c r="AF66" s="533"/>
    </row>
    <row r="67" spans="1:32" ht="0.2" hidden="1" customHeight="1" x14ac:dyDescent="0.2">
      <c r="D67" s="223">
        <f ca="1">IF($Q65=2,IF(AND(ACOMPANHAMENTO="PLE",ISNUMBER($E65)),SUMIF((OFFSET(CÁLCULO!$AM$15:$AW$15,$E65,0,OFFSET(ORÇAMENTO!$D$15,CRONO!$E65,0))),"="&amp;CRONO!D$12,OFFSET(CÁLCULO!$AB$15:$AL$15,$E65,0,OFFSET(ORÇAMENTO!$D$15,CRONO!$E65,0)))+IF(AND($E67&lt;&gt;"",$E67&lt;&gt;0),SUMIF(CÁLCULO!$AM$15:$AW$119,"="&amp;CRONO!D$12,CÁLCULO!$AB$15:$AL$119)/(ORÇAMENTO!$X$15-CÁLCULO.TotalAdmLocal)*CRONO!$E67,0),D66*$R65),SUMIF(OFFSET($R67,1,0,$Q65-2),($L65+1)&amp;"$",OFFSET(D67,1,0,$Q65-2)))</f>
        <v>0</v>
      </c>
      <c r="E67" s="204" t="str">
        <f ca="1">IF(OR($Q65&lt;&gt;2,AUTOEVENTO&lt;&gt;"manual",$E66&gt;0),"",SUMIF(OFFSET(CÁLCULO!$M$15,CRONO!$E65,0,OFFSET(ORÇAMENTO!$D$15,CRONO!$E65,0)),1,OFFSET(ORÇAMENTO!$X$15,CRONO!$E65,0,OFFSET(ORÇAMENTO!$D$15,CRONO!$E65,0))))</f>
        <v/>
      </c>
      <c r="G67" s="224"/>
      <c r="R67" s="225" t="str">
        <f t="shared" ref="R67" ca="1" si="136">L65&amp;"$"</f>
        <v>2$</v>
      </c>
      <c r="S67" s="226"/>
      <c r="T67" s="227">
        <f ca="1">IF($Q65=2,IF(AND(ACOMPANHAMENTO="PLE",ISNUMBER($E65)),SUMIF((OFFSET(CÁLCULO!$AM$15:$AW$15,$E65,0,OFFSET(ORÇAMENTO!$D$15,CRONO!$E65,0))),"&lt;="&amp;CRONO!T$12,OFFSET(CÁLCULO!$AB$15:$AL$15,$E65,0,OFFSET(ORÇAMENTO!$D$15,CRONO!$E65,0)))+IF(AND($E67&lt;&gt;"",$E67&lt;&gt;0),SUMIF(CÁLCULO!$AM$15:$AW$119,"&lt;="&amp;CRONO!T$12,CÁLCULO!$AB$15:$AL$119)/(ORÇAMENTO!$X$15-CÁLCULO.TotalAdmLocal)*CRONO!$E67,0),T66*$R65),SUMIF(OFFSET($R67,1,0,$Q65-2),($L65+1)&amp;"$",OFFSET(T67,1,0,$Q65-2)))</f>
        <v>0</v>
      </c>
      <c r="U67" s="223">
        <f ca="1">IF($Q65=2,IF(AND(ACOMPANHAMENTO="PLE",ISNUMBER($E65)),SUMIF((OFFSET(CÁLCULO!$AM$15:$AW$15,$E65,0,OFFSET(ORÇAMENTO!$D$15,CRONO!$E65,0))),"="&amp;CRONO!U$12,OFFSET(CÁLCULO!$AB$15:$AL$15,$E65,0,OFFSET(ORÇAMENTO!$D$15,CRONO!$E65,0)))+IF(AND($E67&lt;&gt;"",$E67&lt;&gt;0),SUMIF(CÁLCULO!$AM$15:$AW$119,"="&amp;CRONO!U$12,CÁLCULO!$AB$15:$AL$119)/(ORÇAMENTO!$X$15-CÁLCULO.TotalAdmLocal)*CRONO!$E67,0),U66*$R65),SUMIF(OFFSET($R67,1,0,$Q65-2),($L65+1)&amp;"$",OFFSET(U67,1,0,$Q65-2)))</f>
        <v>0</v>
      </c>
      <c r="V67" s="223">
        <f ca="1">IF($Q65=2,IF(AND(ACOMPANHAMENTO="PLE",ISNUMBER($E65)),SUMIF((OFFSET(CÁLCULO!$AM$15:$AW$15,$E65,0,OFFSET(ORÇAMENTO!$D$15,CRONO!$E65,0))),"="&amp;CRONO!V$12,OFFSET(CÁLCULO!$AB$15:$AL$15,$E65,0,OFFSET(ORÇAMENTO!$D$15,CRONO!$E65,0)))+IF(AND($E67&lt;&gt;"",$E67&lt;&gt;0),SUMIF(CÁLCULO!$AM$15:$AW$119,"="&amp;CRONO!V$12,CÁLCULO!$AB$15:$AL$119)/(ORÇAMENTO!$X$15-CÁLCULO.TotalAdmLocal)*CRONO!$E67,0),V66*$R65),SUMIF(OFFSET($R67,1,0,$Q65-2),($L65+1)&amp;"$",OFFSET(V67,1,0,$Q65-2)))</f>
        <v>0</v>
      </c>
      <c r="W67" s="223">
        <f ca="1">IF($Q65=2,IF(AND(ACOMPANHAMENTO="PLE",ISNUMBER($E65)),SUMIF((OFFSET(CÁLCULO!$AM$15:$AW$15,$E65,0,OFFSET(ORÇAMENTO!$D$15,CRONO!$E65,0))),"="&amp;CRONO!W$12,OFFSET(CÁLCULO!$AB$15:$AL$15,$E65,0,OFFSET(ORÇAMENTO!$D$15,CRONO!$E65,0)))+IF(AND($E67&lt;&gt;"",$E67&lt;&gt;0),SUMIF(CÁLCULO!$AM$15:$AW$119,"="&amp;CRONO!W$12,CÁLCULO!$AB$15:$AL$119)/(ORÇAMENTO!$X$15-CÁLCULO.TotalAdmLocal)*CRONO!$E67,0),W66*$R65),SUMIF(OFFSET($R67,1,0,$Q65-2),($L65+1)&amp;"$",OFFSET(W67,1,0,$Q65-2)))</f>
        <v>9427.4699999999993</v>
      </c>
      <c r="X67" s="223">
        <f ca="1">IF($Q65=2,IF(AND(ACOMPANHAMENTO="PLE",ISNUMBER($E65)),SUMIF((OFFSET(CÁLCULO!$AM$15:$AW$15,$E65,0,OFFSET(ORÇAMENTO!$D$15,CRONO!$E65,0))),"="&amp;CRONO!X$12,OFFSET(CÁLCULO!$AB$15:$AL$15,$E65,0,OFFSET(ORÇAMENTO!$D$15,CRONO!$E65,0)))+IF(AND($E67&lt;&gt;"",$E67&lt;&gt;0),SUMIF(CÁLCULO!$AM$15:$AW$119,"="&amp;CRONO!X$12,CÁLCULO!$AB$15:$AL$119)/(ORÇAMENTO!$X$15-CÁLCULO.TotalAdmLocal)*CRONO!$E67,0),X66*$R65),SUMIF(OFFSET($R67,1,0,$Q65-2),($L65+1)&amp;"$",OFFSET(X67,1,0,$Q65-2)))</f>
        <v>0</v>
      </c>
      <c r="Y67" s="223">
        <f ca="1">IF($Q65=2,IF(AND(ACOMPANHAMENTO="PLE",ISNUMBER($E65)),SUMIF((OFFSET(CÁLCULO!$AM$15:$AW$15,$E65,0,OFFSET(ORÇAMENTO!$D$15,CRONO!$E65,0))),"="&amp;CRONO!Y$12,OFFSET(CÁLCULO!$AB$15:$AL$15,$E65,0,OFFSET(ORÇAMENTO!$D$15,CRONO!$E65,0)))+IF(AND($E67&lt;&gt;"",$E67&lt;&gt;0),SUMIF(CÁLCULO!$AM$15:$AW$119,"="&amp;CRONO!Y$12,CÁLCULO!$AB$15:$AL$119)/(ORÇAMENTO!$X$15-CÁLCULO.TotalAdmLocal)*CRONO!$E67,0),Y66*$R65),SUMIF(OFFSET($R67,1,0,$Q65-2),($L65+1)&amp;"$",OFFSET(Y67,1,0,$Q65-2)))</f>
        <v>0</v>
      </c>
      <c r="Z67" s="223">
        <f ca="1">IF($Q65=2,IF(AND(ACOMPANHAMENTO="PLE",ISNUMBER($E65)),SUMIF((OFFSET(CÁLCULO!$AM$15:$AW$15,$E65,0,OFFSET(ORÇAMENTO!$D$15,CRONO!$E65,0))),"="&amp;CRONO!Z$12,OFFSET(CÁLCULO!$AB$15:$AL$15,$E65,0,OFFSET(ORÇAMENTO!$D$15,CRONO!$E65,0)))+IF(AND($E67&lt;&gt;"",$E67&lt;&gt;0),SUMIF(CÁLCULO!$AM$15:$AW$119,"="&amp;CRONO!Z$12,CÁLCULO!$AB$15:$AL$119)/(ORÇAMENTO!$X$15-CÁLCULO.TotalAdmLocal)*CRONO!$E67,0),Z66*$R65),SUMIF(OFFSET($R67,1,0,$Q65-2),($L65+1)&amp;"$",OFFSET(Z67,1,0,$Q65-2)))</f>
        <v>0</v>
      </c>
      <c r="AA67" s="223">
        <f ca="1">IF($Q65=2,IF(AND(ACOMPANHAMENTO="PLE",ISNUMBER($E65)),SUMIF((OFFSET(CÁLCULO!$AM$15:$AW$15,$E65,0,OFFSET(ORÇAMENTO!$D$15,CRONO!$E65,0))),"="&amp;CRONO!AA$12,OFFSET(CÁLCULO!$AB$15:$AL$15,$E65,0,OFFSET(ORÇAMENTO!$D$15,CRONO!$E65,0)))+IF(AND($E67&lt;&gt;"",$E67&lt;&gt;0),SUMIF(CÁLCULO!$AM$15:$AW$119,"="&amp;CRONO!AA$12,CÁLCULO!$AB$15:$AL$119)/(ORÇAMENTO!$X$15-CÁLCULO.TotalAdmLocal)*CRONO!$E67,0),AA66*$R65),SUMIF(OFFSET($R67,1,0,$Q65-2),($L65+1)&amp;"$",OFFSET(AA67,1,0,$Q65-2)))</f>
        <v>0</v>
      </c>
      <c r="AB67" s="223">
        <f ca="1">IF($Q65=2,IF(AND(ACOMPANHAMENTO="PLE",ISNUMBER($E65)),SUMIF((OFFSET(CÁLCULO!$AM$15:$AW$15,$E65,0,OFFSET(ORÇAMENTO!$D$15,CRONO!$E65,0))),"="&amp;CRONO!AB$12,OFFSET(CÁLCULO!$AB$15:$AL$15,$E65,0,OFFSET(ORÇAMENTO!$D$15,CRONO!$E65,0)))+IF(AND($E67&lt;&gt;"",$E67&lt;&gt;0),SUMIF(CÁLCULO!$AM$15:$AW$119,"="&amp;CRONO!AB$12,CÁLCULO!$AB$15:$AL$119)/(ORÇAMENTO!$X$15-CÁLCULO.TotalAdmLocal)*CRONO!$E67,0),AB66*$R65),SUMIF(OFFSET($R67,1,0,$Q65-2),($L65+1)&amp;"$",OFFSET(AB67,1,0,$Q65-2)))</f>
        <v>0</v>
      </c>
      <c r="AC67" s="223">
        <f ca="1">IF($Q65=2,IF(AND(ACOMPANHAMENTO="PLE",ISNUMBER($E65)),SUMIF((OFFSET(CÁLCULO!$AM$15:$AW$15,$E65,0,OFFSET(ORÇAMENTO!$D$15,CRONO!$E65,0))),"="&amp;CRONO!AC$12,OFFSET(CÁLCULO!$AB$15:$AL$15,$E65,0,OFFSET(ORÇAMENTO!$D$15,CRONO!$E65,0)))+IF(AND($E67&lt;&gt;"",$E67&lt;&gt;0),SUMIF(CÁLCULO!$AM$15:$AW$119,"="&amp;CRONO!AC$12,CÁLCULO!$AB$15:$AL$119)/(ORÇAMENTO!$X$15-CÁLCULO.TotalAdmLocal)*CRONO!$E67,0),AC66*$R65),SUMIF(OFFSET($R67,1,0,$Q65-2),($L65+1)&amp;"$",OFFSET(AC67,1,0,$Q65-2)))</f>
        <v>0</v>
      </c>
      <c r="AD67" s="223">
        <f ca="1">IF($Q65=2,IF(AND(ACOMPANHAMENTO="PLE",ISNUMBER($E65)),SUMIF((OFFSET(CÁLCULO!$AM$15:$AW$15,$E65,0,OFFSET(ORÇAMENTO!$D$15,CRONO!$E65,0))),"="&amp;CRONO!AD$12,OFFSET(CÁLCULO!$AB$15:$AL$15,$E65,0,OFFSET(ORÇAMENTO!$D$15,CRONO!$E65,0)))+IF(AND($E67&lt;&gt;"",$E67&lt;&gt;0),SUMIF(CÁLCULO!$AM$15:$AW$119,"="&amp;CRONO!AD$12,CÁLCULO!$AB$15:$AL$119)/(ORÇAMENTO!$X$15-CÁLCULO.TotalAdmLocal)*CRONO!$E67,0),AD66*$R65),SUMIF(OFFSET($R67,1,0,$Q65-2),($L65+1)&amp;"$",OFFSET(AD67,1,0,$Q65-2)))</f>
        <v>0</v>
      </c>
      <c r="AE67" s="228">
        <f ca="1">IF($Q65=2,IF(AND(ACOMPANHAMENTO="PLE",ISNUMBER($E65)),SUMIF((OFFSET(CÁLCULO!$AM$15:$AW$15,$E65,0,OFFSET(ORÇAMENTO!$D$15,CRONO!$E65,0))),"="&amp;CRONO!AE$12,OFFSET(CÁLCULO!$AB$15:$AL$15,$E65,0,OFFSET(ORÇAMENTO!$D$15,CRONO!$E65,0)))+IF(AND($E67&lt;&gt;"",$E67&lt;&gt;0),SUMIF(CÁLCULO!$AM$15:$AW$119,"="&amp;CRONO!AE$12,CÁLCULO!$AB$15:$AL$119)/(ORÇAMENTO!$X$15-CÁLCULO.TotalAdmLocal)*CRONO!$E67,0),AE66*$R65),SUMIF(OFFSET($R67,1,0,$Q65-2),($L65+1)&amp;"$",OFFSET(AE67,1,0,$Q65-2)))</f>
        <v>0</v>
      </c>
    </row>
    <row r="68" spans="1:32" ht="5.0999999999999996" customHeight="1" x14ac:dyDescent="0.2">
      <c r="D68" s="502"/>
      <c r="F68" s="204" t="s">
        <v>246</v>
      </c>
      <c r="G68" s="504"/>
      <c r="H68" s="505"/>
      <c r="I68" s="506"/>
      <c r="J68" s="506"/>
      <c r="K68" s="506"/>
      <c r="L68" s="507" t="s">
        <v>281</v>
      </c>
      <c r="M68" s="507"/>
      <c r="N68" s="507"/>
      <c r="O68" s="507"/>
      <c r="P68" s="507"/>
      <c r="Q68" s="507"/>
      <c r="R68" s="508"/>
      <c r="S68" s="508"/>
      <c r="T68" s="506"/>
      <c r="U68" s="506"/>
      <c r="V68" s="506"/>
      <c r="W68" s="506"/>
      <c r="X68" s="506"/>
      <c r="Y68" s="506"/>
      <c r="Z68" s="506"/>
      <c r="AA68" s="506"/>
      <c r="AB68" s="506"/>
      <c r="AC68" s="506"/>
      <c r="AD68" s="506"/>
      <c r="AE68" s="509"/>
      <c r="AF68" s="503"/>
    </row>
    <row r="69" spans="1:32" ht="12.75" customHeight="1" x14ac:dyDescent="0.2">
      <c r="D69" s="252">
        <f ca="1">D73/$Q$69</f>
        <v>0</v>
      </c>
      <c r="F69" s="204" t="s">
        <v>246</v>
      </c>
      <c r="H69" s="636" t="str">
        <f ca="1">"Total: R$ "&amp;TEXT(Q69,"#.##0,00")</f>
        <v>Total: R$ 1.436.876,32</v>
      </c>
      <c r="I69" s="636"/>
      <c r="J69" s="636"/>
      <c r="K69" s="253"/>
      <c r="Q69" s="254">
        <f ca="1">SUMIF(L12:L68,1,R12:R68)</f>
        <v>1436876.3199999998</v>
      </c>
      <c r="R69" s="255"/>
      <c r="S69" s="256" t="s">
        <v>282</v>
      </c>
      <c r="T69" s="257">
        <f t="shared" ref="T69:AE69" ca="1" si="137">ROUND(T73,2)/$Q$69</f>
        <v>0.12080901994404085</v>
      </c>
      <c r="U69" s="258">
        <f t="shared" ca="1" si="137"/>
        <v>0.26255346737149932</v>
      </c>
      <c r="V69" s="258">
        <f t="shared" ca="1" si="137"/>
        <v>0.40593946874982262</v>
      </c>
      <c r="W69" s="258">
        <f t="shared" ca="1" si="137"/>
        <v>0.21069804393463737</v>
      </c>
      <c r="X69" s="258">
        <f t="shared" ca="1" si="137"/>
        <v>0</v>
      </c>
      <c r="Y69" s="258">
        <f t="shared" ca="1" si="137"/>
        <v>0</v>
      </c>
      <c r="Z69" s="258">
        <f t="shared" ca="1" si="137"/>
        <v>0</v>
      </c>
      <c r="AA69" s="258">
        <f t="shared" ca="1" si="137"/>
        <v>0</v>
      </c>
      <c r="AB69" s="258">
        <f t="shared" ca="1" si="137"/>
        <v>0</v>
      </c>
      <c r="AC69" s="258">
        <f t="shared" ca="1" si="137"/>
        <v>0</v>
      </c>
      <c r="AD69" s="258">
        <f t="shared" ca="1" si="137"/>
        <v>0</v>
      </c>
      <c r="AE69" s="259">
        <f t="shared" ca="1" si="137"/>
        <v>0</v>
      </c>
    </row>
    <row r="70" spans="1:32" ht="15" customHeight="1" x14ac:dyDescent="0.2">
      <c r="D70" s="260">
        <f ca="1">ROUND(D75,2)-ROUND(C75,2)</f>
        <v>0</v>
      </c>
      <c r="F70" s="204" t="s">
        <v>246</v>
      </c>
      <c r="H70" s="636"/>
      <c r="I70" s="636"/>
      <c r="J70" s="636"/>
      <c r="K70" s="261"/>
      <c r="Q70" s="254"/>
      <c r="R70" s="262"/>
      <c r="S70" s="263" t="str">
        <f>IF(import.recurso="FGTS","Financiamento:","Repasse:")</f>
        <v>Repasse:</v>
      </c>
      <c r="T70" s="264">
        <f ca="1">ROUND(T75,2)</f>
        <v>0</v>
      </c>
      <c r="U70" s="260">
        <f t="shared" ref="U70:AE70" ca="1" si="138">ROUND(U75,2)-ROUND(T75,2)</f>
        <v>0</v>
      </c>
      <c r="V70" s="260">
        <f t="shared" ca="1" si="138"/>
        <v>0</v>
      </c>
      <c r="W70" s="260">
        <f t="shared" ca="1" si="138"/>
        <v>0</v>
      </c>
      <c r="X70" s="260">
        <f t="shared" ca="1" si="138"/>
        <v>0</v>
      </c>
      <c r="Y70" s="260">
        <f t="shared" ca="1" si="138"/>
        <v>0</v>
      </c>
      <c r="Z70" s="260">
        <f t="shared" ca="1" si="138"/>
        <v>0</v>
      </c>
      <c r="AA70" s="260">
        <f t="shared" ca="1" si="138"/>
        <v>0</v>
      </c>
      <c r="AB70" s="260">
        <f t="shared" ca="1" si="138"/>
        <v>0</v>
      </c>
      <c r="AC70" s="260">
        <f t="shared" ca="1" si="138"/>
        <v>0</v>
      </c>
      <c r="AD70" s="260">
        <f t="shared" ca="1" si="138"/>
        <v>0</v>
      </c>
      <c r="AE70" s="265">
        <f t="shared" ca="1" si="138"/>
        <v>0</v>
      </c>
    </row>
    <row r="71" spans="1:32" ht="12.75" customHeight="1" x14ac:dyDescent="0.2">
      <c r="D71" s="260">
        <f ca="1">ROUND(D76,2)-ROUND(C76,2)</f>
        <v>0</v>
      </c>
      <c r="F71" s="204" t="s">
        <v>246</v>
      </c>
      <c r="H71" s="266"/>
      <c r="K71" s="267" t="s">
        <v>283</v>
      </c>
      <c r="Q71" s="254"/>
      <c r="R71" s="268"/>
      <c r="S71" s="269" t="s">
        <v>284</v>
      </c>
      <c r="T71" s="270">
        <f ca="1">ROUND(T76,2)</f>
        <v>173587.62</v>
      </c>
      <c r="U71" s="271">
        <f t="shared" ref="U71:AE71" ca="1" si="139">ROUND(U76,2)-ROUND(T76,2)</f>
        <v>377256.86</v>
      </c>
      <c r="V71" s="271">
        <f t="shared" ca="1" si="139"/>
        <v>583284.81000000006</v>
      </c>
      <c r="W71" s="271">
        <f t="shared" ca="1" si="139"/>
        <v>302747.03000000003</v>
      </c>
      <c r="X71" s="271">
        <f t="shared" ca="1" si="139"/>
        <v>0</v>
      </c>
      <c r="Y71" s="271">
        <f t="shared" ca="1" si="139"/>
        <v>0</v>
      </c>
      <c r="Z71" s="271">
        <f t="shared" ca="1" si="139"/>
        <v>0</v>
      </c>
      <c r="AA71" s="271">
        <f t="shared" ca="1" si="139"/>
        <v>0</v>
      </c>
      <c r="AB71" s="271">
        <f t="shared" ca="1" si="139"/>
        <v>0</v>
      </c>
      <c r="AC71" s="271">
        <f t="shared" ca="1" si="139"/>
        <v>0</v>
      </c>
      <c r="AD71" s="271">
        <f t="shared" ca="1" si="139"/>
        <v>0</v>
      </c>
      <c r="AE71" s="272">
        <f t="shared" ca="1" si="139"/>
        <v>0</v>
      </c>
    </row>
    <row r="72" spans="1:32" x14ac:dyDescent="0.2">
      <c r="D72" s="273">
        <f ca="1">ROUND(D77,2)-ROUND(C77,2)</f>
        <v>0</v>
      </c>
      <c r="F72" s="204" t="s">
        <v>246</v>
      </c>
      <c r="H72" s="266"/>
      <c r="K72" s="267"/>
      <c r="Q72" s="254"/>
      <c r="R72" s="274"/>
      <c r="S72" s="275" t="s">
        <v>285</v>
      </c>
      <c r="T72" s="276">
        <f ca="1">ROUND(T77,2)</f>
        <v>0</v>
      </c>
      <c r="U72" s="273">
        <f t="shared" ref="U72:AE72" ca="1" si="140">ROUND(U77,2)-ROUND(T77,2)</f>
        <v>0</v>
      </c>
      <c r="V72" s="273">
        <f t="shared" ca="1" si="140"/>
        <v>0</v>
      </c>
      <c r="W72" s="273">
        <f t="shared" ca="1" si="140"/>
        <v>0</v>
      </c>
      <c r="X72" s="273">
        <f t="shared" ca="1" si="140"/>
        <v>0</v>
      </c>
      <c r="Y72" s="273">
        <f t="shared" ca="1" si="140"/>
        <v>0</v>
      </c>
      <c r="Z72" s="273">
        <f t="shared" ca="1" si="140"/>
        <v>0</v>
      </c>
      <c r="AA72" s="273">
        <f t="shared" ca="1" si="140"/>
        <v>0</v>
      </c>
      <c r="AB72" s="273">
        <f t="shared" ca="1" si="140"/>
        <v>0</v>
      </c>
      <c r="AC72" s="273">
        <f t="shared" ca="1" si="140"/>
        <v>0</v>
      </c>
      <c r="AD72" s="273">
        <f t="shared" ca="1" si="140"/>
        <v>0</v>
      </c>
      <c r="AE72" s="277">
        <f t="shared" ca="1" si="140"/>
        <v>0</v>
      </c>
    </row>
    <row r="73" spans="1:32" x14ac:dyDescent="0.2">
      <c r="D73" s="278">
        <f ca="1">ROUND(D78,2)-ROUND(C78,2)</f>
        <v>0</v>
      </c>
      <c r="F73" s="204" t="s">
        <v>246</v>
      </c>
      <c r="K73" s="279"/>
      <c r="R73" s="280"/>
      <c r="S73" s="281" t="s">
        <v>286</v>
      </c>
      <c r="T73" s="282">
        <f ca="1">ROUND(T78,2)</f>
        <v>173587.62</v>
      </c>
      <c r="U73" s="283">
        <f t="shared" ref="U73:AE73" ca="1" si="141">ROUND(U78,2)-ROUND(T78,2)</f>
        <v>377256.86</v>
      </c>
      <c r="V73" s="283">
        <f t="shared" ca="1" si="141"/>
        <v>583284.81000000006</v>
      </c>
      <c r="W73" s="283">
        <f t="shared" ca="1" si="141"/>
        <v>302747.03000000003</v>
      </c>
      <c r="X73" s="283">
        <f t="shared" ca="1" si="141"/>
        <v>0</v>
      </c>
      <c r="Y73" s="283">
        <f t="shared" ca="1" si="141"/>
        <v>0</v>
      </c>
      <c r="Z73" s="283">
        <f t="shared" ca="1" si="141"/>
        <v>0</v>
      </c>
      <c r="AA73" s="283">
        <f t="shared" ca="1" si="141"/>
        <v>0</v>
      </c>
      <c r="AB73" s="283">
        <f t="shared" ca="1" si="141"/>
        <v>0</v>
      </c>
      <c r="AC73" s="283">
        <f t="shared" ca="1" si="141"/>
        <v>0</v>
      </c>
      <c r="AD73" s="283">
        <f t="shared" ca="1" si="141"/>
        <v>0</v>
      </c>
      <c r="AE73" s="284">
        <f t="shared" ca="1" si="141"/>
        <v>0</v>
      </c>
    </row>
    <row r="74" spans="1:32" x14ac:dyDescent="0.2">
      <c r="D74" s="252">
        <f ca="1">D78/$Q$69</f>
        <v>0</v>
      </c>
      <c r="F74" s="204" t="s">
        <v>246</v>
      </c>
      <c r="K74" s="253"/>
      <c r="R74" s="255"/>
      <c r="S74" s="256" t="s">
        <v>282</v>
      </c>
      <c r="T74" s="257">
        <f ca="1">ROUND(T78,2)/$Q$69</f>
        <v>0.12080901994404085</v>
      </c>
      <c r="U74" s="258">
        <f t="shared" ref="U74:AE74" ca="1" si="142">ROUND(U78,2)/$Q$69</f>
        <v>0.38336248731554018</v>
      </c>
      <c r="V74" s="258">
        <f t="shared" ca="1" si="142"/>
        <v>0.7893019560653628</v>
      </c>
      <c r="W74" s="258">
        <f t="shared" ca="1" si="142"/>
        <v>1.0000000000000002</v>
      </c>
      <c r="X74" s="258">
        <f t="shared" ca="1" si="142"/>
        <v>1.0000000000000002</v>
      </c>
      <c r="Y74" s="258">
        <f t="shared" ca="1" si="142"/>
        <v>1.0000000000000002</v>
      </c>
      <c r="Z74" s="258">
        <f t="shared" ca="1" si="142"/>
        <v>1.0000000000000002</v>
      </c>
      <c r="AA74" s="258">
        <f t="shared" ca="1" si="142"/>
        <v>1.0000000000000002</v>
      </c>
      <c r="AB74" s="258">
        <f t="shared" ca="1" si="142"/>
        <v>1.0000000000000002</v>
      </c>
      <c r="AC74" s="258">
        <f t="shared" ca="1" si="142"/>
        <v>1.0000000000000002</v>
      </c>
      <c r="AD74" s="258">
        <f t="shared" ca="1" si="142"/>
        <v>1.0000000000000002</v>
      </c>
      <c r="AE74" s="259">
        <f t="shared" ca="1" si="142"/>
        <v>1.0000000000000002</v>
      </c>
    </row>
    <row r="75" spans="1:32" x14ac:dyDescent="0.2">
      <c r="D75" s="260">
        <f ca="1">ROUND(D78-D77-D76,2)</f>
        <v>0</v>
      </c>
      <c r="F75" s="204" t="s">
        <v>246</v>
      </c>
      <c r="K75" s="261"/>
      <c r="R75" s="262"/>
      <c r="S75" s="263" t="str">
        <f>IF(import.recurso="FGTS","Financiamento:","Repasse:")</f>
        <v>Repasse:</v>
      </c>
      <c r="T75" s="264">
        <f ca="1">ROUND(T78-T77-T76,2)</f>
        <v>0</v>
      </c>
      <c r="U75" s="260">
        <f t="shared" ref="U75:AE75" ca="1" si="143">ROUND(U78-U77-U76,2)</f>
        <v>0</v>
      </c>
      <c r="V75" s="260">
        <f t="shared" ca="1" si="143"/>
        <v>0</v>
      </c>
      <c r="W75" s="260">
        <f t="shared" ca="1" si="143"/>
        <v>0</v>
      </c>
      <c r="X75" s="260">
        <f t="shared" ca="1" si="143"/>
        <v>0</v>
      </c>
      <c r="Y75" s="260">
        <f t="shared" ca="1" si="143"/>
        <v>0</v>
      </c>
      <c r="Z75" s="260">
        <f t="shared" ca="1" si="143"/>
        <v>0</v>
      </c>
      <c r="AA75" s="260">
        <f t="shared" ca="1" si="143"/>
        <v>0</v>
      </c>
      <c r="AB75" s="260">
        <f t="shared" ca="1" si="143"/>
        <v>0</v>
      </c>
      <c r="AC75" s="260">
        <f t="shared" ca="1" si="143"/>
        <v>0</v>
      </c>
      <c r="AD75" s="260">
        <f t="shared" ca="1" si="143"/>
        <v>0</v>
      </c>
      <c r="AE75" s="265">
        <f t="shared" ca="1" si="143"/>
        <v>0</v>
      </c>
      <c r="AF75" s="205">
        <f ca="1">AE75+SUMPRODUCT((OFFSET($B$13,1,0):OFFSET($B$68,-3,0))*IF(ISNUMBER(OFFSET(AF$11,5,0):OFFSET(AF$68,-1,0)),OFFSET(AF$11,5,0):OFFSET(AF$68,-1,0),0))</f>
        <v>0</v>
      </c>
    </row>
    <row r="76" spans="1:32" x14ac:dyDescent="0.2">
      <c r="D76" s="260">
        <f t="array" aca="1" ref="D76" ca="1">C76+SUM((OFFSET($B$13,1,0):OFFSET($B$68,-3,0))*IF(ISNUMBER(OFFSET(D$11,5,0):OFFSET(D$68,-1,0)),OFFSET(D$11,5,0):OFFSET(D$68,-1,0),0))</f>
        <v>0</v>
      </c>
      <c r="F76" s="204" t="s">
        <v>246</v>
      </c>
      <c r="K76" s="267" t="s">
        <v>287</v>
      </c>
      <c r="R76" s="268"/>
      <c r="S76" s="269" t="s">
        <v>284</v>
      </c>
      <c r="T76" s="270">
        <f t="array" aca="1" ref="T76" ca="1">SUM((OFFSET($B$13,1,0):OFFSET($B$68,-3,0))*IF(ISNUMBER(OFFSET(T$11,5,0):OFFSET(T$68,-1,0)),OFFSET(T$11,5,0):OFFSET(T$68,-1,0),0))</f>
        <v>173587.61699999997</v>
      </c>
      <c r="U76" s="271">
        <f t="array" aca="1" ref="U76" ca="1">T76+SUM((OFFSET($B$13,1,0):OFFSET($B$68,-3,0))*IF(ISNUMBER(OFFSET(U$11,5,0):OFFSET(U$68,-1,0)),OFFSET(U$11,5,0):OFFSET(U$68,-1,0),0))</f>
        <v>550844.47699999996</v>
      </c>
      <c r="V76" s="271">
        <f t="array" aca="1" ref="V76" ca="1">U76+SUM((OFFSET($B$13,1,0):OFFSET($B$68,-3,0))*IF(ISNUMBER(OFFSET(V$11,5,0):OFFSET(V$68,-1,0)),OFFSET(V$11,5,0):OFFSET(V$68,-1,0),0))</f>
        <v>1134129.2899999998</v>
      </c>
      <c r="W76" s="271">
        <f t="array" aca="1" ref="W76" ca="1">V76+SUM((OFFSET($B$13,1,0):OFFSET($B$68,-3,0))*IF(ISNUMBER(OFFSET(W$11,5,0):OFFSET(W$68,-1,0)),OFFSET(W$11,5,0):OFFSET(W$68,-1,0),0))</f>
        <v>1436876.3199999998</v>
      </c>
      <c r="X76" s="271">
        <f t="array" aca="1" ref="X76" ca="1">W76+SUM((OFFSET($B$13,1,0):OFFSET($B$68,-3,0))*IF(ISNUMBER(OFFSET(X$11,5,0):OFFSET(X$68,-1,0)),OFFSET(X$11,5,0):OFFSET(X$68,-1,0),0))</f>
        <v>1436876.3199999998</v>
      </c>
      <c r="Y76" s="271">
        <f t="array" aca="1" ref="Y76" ca="1">X76+SUM((OFFSET($B$13,1,0):OFFSET($B$68,-3,0))*IF(ISNUMBER(OFFSET(Y$11,5,0):OFFSET(Y$68,-1,0)),OFFSET(Y$11,5,0):OFFSET(Y$68,-1,0),0))</f>
        <v>1436876.3199999998</v>
      </c>
      <c r="Z76" s="271">
        <f t="array" aca="1" ref="Z76" ca="1">Y76+SUM((OFFSET($B$13,1,0):OFFSET($B$68,-3,0))*IF(ISNUMBER(OFFSET(Z$11,5,0):OFFSET(Z$68,-1,0)),OFFSET(Z$11,5,0):OFFSET(Z$68,-1,0),0))</f>
        <v>1436876.3199999998</v>
      </c>
      <c r="AA76" s="271">
        <f t="array" aca="1" ref="AA76" ca="1">Z76+SUM((OFFSET($B$13,1,0):OFFSET($B$68,-3,0))*IF(ISNUMBER(OFFSET(AA$11,5,0):OFFSET(AA$68,-1,0)),OFFSET(AA$11,5,0):OFFSET(AA$68,-1,0),0))</f>
        <v>1436876.3199999998</v>
      </c>
      <c r="AB76" s="271">
        <f t="array" aca="1" ref="AB76" ca="1">AA76+SUM((OFFSET($B$13,1,0):OFFSET($B$68,-3,0))*IF(ISNUMBER(OFFSET(AB$11,5,0):OFFSET(AB$68,-1,0)),OFFSET(AB$11,5,0):OFFSET(AB$68,-1,0),0))</f>
        <v>1436876.3199999998</v>
      </c>
      <c r="AC76" s="271">
        <f t="array" aca="1" ref="AC76" ca="1">AB76+SUM((OFFSET($B$13,1,0):OFFSET($B$68,-3,0))*IF(ISNUMBER(OFFSET(AC$11,5,0):OFFSET(AC$68,-1,0)),OFFSET(AC$11,5,0):OFFSET(AC$68,-1,0),0))</f>
        <v>1436876.3199999998</v>
      </c>
      <c r="AD76" s="271">
        <f t="array" aca="1" ref="AD76" ca="1">AC76+SUM((OFFSET($B$13,1,0):OFFSET($B$68,-3,0))*IF(ISNUMBER(OFFSET(AD$11,5,0):OFFSET(AD$68,-1,0)),OFFSET(AD$11,5,0):OFFSET(AD$68,-1,0),0))</f>
        <v>1436876.3199999998</v>
      </c>
      <c r="AE76" s="272">
        <f t="array" aca="1" ref="AE76" ca="1">AD76+SUM((OFFSET($B$13,1,0):OFFSET($B$68,-3,0))*IF(ISNUMBER(OFFSET(AE$11,5,0):OFFSET(AE$68,-1,0)),OFFSET(AE$11,5,0):OFFSET(AE$68,-1,0),0))</f>
        <v>1436876.3199999998</v>
      </c>
      <c r="AF76" s="205">
        <f ca="1">AE76+SUMPRODUCT((OFFSET($C$13,1,0):OFFSET($C$68,-3,0))*IF(ISNUMBER(OFFSET(AF$11,5,0):OFFSET(AF$68,-1,0)),OFFSET(AF$11,5,0):OFFSET(AF$68,-1,0),0))</f>
        <v>1436876.3199999998</v>
      </c>
    </row>
    <row r="77" spans="1:32" x14ac:dyDescent="0.2">
      <c r="D77" s="273">
        <f t="array" aca="1" ref="D77" ca="1">C77+SUM((OFFSET($C$13,1,0):OFFSET($C$68,-3,0))*IF(ISNUMBER(OFFSET(D$11,5,0):OFFSET(D$68,-1,0)),OFFSET(D$11,5,0):OFFSET(D$68,-1,0),0))</f>
        <v>0</v>
      </c>
      <c r="F77" s="204" t="s">
        <v>246</v>
      </c>
      <c r="K77" s="267"/>
      <c r="R77" s="274"/>
      <c r="S77" s="275" t="s">
        <v>285</v>
      </c>
      <c r="T77" s="276">
        <f t="array" aca="1" ref="T77" ca="1">SUM((OFFSET($C$13,1,0):OFFSET($C$68,-3,0))*IF(ISNUMBER(OFFSET(T$11,5,0):OFFSET(T$68,-1,0)),OFFSET(T$11,5,0):OFFSET(T$68,-1,0),0))</f>
        <v>0</v>
      </c>
      <c r="U77" s="273">
        <f t="array" aca="1" ref="U77" ca="1">T77+SUM((OFFSET($C$13,1,0):OFFSET($C$68,-3,0))*IF(ISNUMBER(OFFSET(U$11,5,0):OFFSET(U$68,-1,0)),OFFSET(U$11,5,0):OFFSET(U$68,-1,0),0))</f>
        <v>0</v>
      </c>
      <c r="V77" s="273">
        <f t="array" aca="1" ref="V77" ca="1">U77+SUM((OFFSET($C$13,1,0):OFFSET($C$68,-3,0))*IF(ISNUMBER(OFFSET(V$11,5,0):OFFSET(V$68,-1,0)),OFFSET(V$11,5,0):OFFSET(V$68,-1,0),0))</f>
        <v>0</v>
      </c>
      <c r="W77" s="273">
        <f t="array" aca="1" ref="W77" ca="1">V77+SUM((OFFSET($C$13,1,0):OFFSET($C$68,-3,0))*IF(ISNUMBER(OFFSET(W$11,5,0):OFFSET(W$68,-1,0)),OFFSET(W$11,5,0):OFFSET(W$68,-1,0),0))</f>
        <v>0</v>
      </c>
      <c r="X77" s="273">
        <f t="array" aca="1" ref="X77" ca="1">W77+SUM((OFFSET($C$13,1,0):OFFSET($C$68,-3,0))*IF(ISNUMBER(OFFSET(X$11,5,0):OFFSET(X$68,-1,0)),OFFSET(X$11,5,0):OFFSET(X$68,-1,0),0))</f>
        <v>0</v>
      </c>
      <c r="Y77" s="273">
        <f t="array" aca="1" ref="Y77" ca="1">X77+SUM((OFFSET($C$13,1,0):OFFSET($C$68,-3,0))*IF(ISNUMBER(OFFSET(Y$11,5,0):OFFSET(Y$68,-1,0)),OFFSET(Y$11,5,0):OFFSET(Y$68,-1,0),0))</f>
        <v>0</v>
      </c>
      <c r="Z77" s="273">
        <f t="array" aca="1" ref="Z77" ca="1">Y77+SUM((OFFSET($C$13,1,0):OFFSET($C$68,-3,0))*IF(ISNUMBER(OFFSET(Z$11,5,0):OFFSET(Z$68,-1,0)),OFFSET(Z$11,5,0):OFFSET(Z$68,-1,0),0))</f>
        <v>0</v>
      </c>
      <c r="AA77" s="273">
        <f t="array" aca="1" ref="AA77" ca="1">Z77+SUM((OFFSET($C$13,1,0):OFFSET($C$68,-3,0))*IF(ISNUMBER(OFFSET(AA$11,5,0):OFFSET(AA$68,-1,0)),OFFSET(AA$11,5,0):OFFSET(AA$68,-1,0),0))</f>
        <v>0</v>
      </c>
      <c r="AB77" s="273">
        <f t="array" aca="1" ref="AB77" ca="1">AA77+SUM((OFFSET($C$13,1,0):OFFSET($C$68,-3,0))*IF(ISNUMBER(OFFSET(AB$11,5,0):OFFSET(AB$68,-1,0)),OFFSET(AB$11,5,0):OFFSET(AB$68,-1,0),0))</f>
        <v>0</v>
      </c>
      <c r="AC77" s="273">
        <f t="array" aca="1" ref="AC77" ca="1">AB77+SUM((OFFSET($C$13,1,0):OFFSET($C$68,-3,0))*IF(ISNUMBER(OFFSET(AC$11,5,0):OFFSET(AC$68,-1,0)),OFFSET(AC$11,5,0):OFFSET(AC$68,-1,0),0))</f>
        <v>0</v>
      </c>
      <c r="AD77" s="273">
        <f t="array" aca="1" ref="AD77" ca="1">AC77+SUM((OFFSET($C$13,1,0):OFFSET($C$68,-3,0))*IF(ISNUMBER(OFFSET(AD$11,5,0):OFFSET(AD$68,-1,0)),OFFSET(AD$11,5,0):OFFSET(AD$68,-1,0),0))</f>
        <v>0</v>
      </c>
      <c r="AE77" s="277">
        <f t="array" aca="1" ref="AE77" ca="1">AD77+SUM((OFFSET($C$13,1,0):OFFSET($C$68,-3,0))*IF(ISNUMBER(OFFSET(AE$11,5,0):OFFSET(AE$68,-1,0)),OFFSET(AE$11,5,0):OFFSET(AE$68,-1,0),0))</f>
        <v>0</v>
      </c>
      <c r="AF77" s="205">
        <f ca="1">ROUND(AF78-AF75-AF76,2)</f>
        <v>0</v>
      </c>
    </row>
    <row r="78" spans="1:32" x14ac:dyDescent="0.2">
      <c r="D78" s="278">
        <f ca="1">C78+SUMIF($R$12:$R$68,"1$",D12:D68)</f>
        <v>0</v>
      </c>
      <c r="F78" s="204" t="s">
        <v>246</v>
      </c>
      <c r="K78" s="279"/>
      <c r="R78" s="280"/>
      <c r="S78" s="281" t="s">
        <v>286</v>
      </c>
      <c r="T78" s="282">
        <f ca="1">SUMIF($R$12:$R$68,"1$",T12:T68)</f>
        <v>173587.617</v>
      </c>
      <c r="U78" s="283">
        <f t="shared" ref="U78:AF78" ca="1" si="144">T78+SUMIF($R$12:$R$68,"1$",U12:U68)</f>
        <v>550844.47699999996</v>
      </c>
      <c r="V78" s="283">
        <f t="shared" ca="1" si="144"/>
        <v>1134129.29</v>
      </c>
      <c r="W78" s="283">
        <f t="shared" ca="1" si="144"/>
        <v>1436876.32</v>
      </c>
      <c r="X78" s="283">
        <f t="shared" ca="1" si="144"/>
        <v>1436876.32</v>
      </c>
      <c r="Y78" s="283">
        <f t="shared" ca="1" si="144"/>
        <v>1436876.32</v>
      </c>
      <c r="Z78" s="283">
        <f t="shared" ca="1" si="144"/>
        <v>1436876.32</v>
      </c>
      <c r="AA78" s="283">
        <f t="shared" ca="1" si="144"/>
        <v>1436876.32</v>
      </c>
      <c r="AB78" s="283">
        <f t="shared" ca="1" si="144"/>
        <v>1436876.32</v>
      </c>
      <c r="AC78" s="283">
        <f t="shared" ca="1" si="144"/>
        <v>1436876.32</v>
      </c>
      <c r="AD78" s="283">
        <f t="shared" ca="1" si="144"/>
        <v>1436876.32</v>
      </c>
      <c r="AE78" s="284">
        <f t="shared" ca="1" si="144"/>
        <v>1436876.32</v>
      </c>
      <c r="AF78" s="205">
        <f t="shared" ca="1" si="144"/>
        <v>1436876.32</v>
      </c>
    </row>
    <row r="79" spans="1:32" x14ac:dyDescent="0.2">
      <c r="F79" s="204" t="s">
        <v>246</v>
      </c>
    </row>
    <row r="80" spans="1:32" ht="32.25" customHeight="1" x14ac:dyDescent="0.2">
      <c r="F80" s="204" t="s">
        <v>246</v>
      </c>
      <c r="H80" s="617" t="str">
        <f>Import.Município</f>
        <v>CÂNDIDO GODÓI</v>
      </c>
      <c r="I80" s="617"/>
      <c r="J80" s="617"/>
      <c r="K80" s="617"/>
      <c r="L80" s="617"/>
      <c r="M80" s="617"/>
      <c r="N80" s="617"/>
      <c r="O80" s="617"/>
      <c r="P80" s="617"/>
      <c r="Q80" s="617"/>
      <c r="R80" s="617"/>
      <c r="Z80" s="553"/>
      <c r="AA80" s="553"/>
      <c r="AB80" s="553"/>
      <c r="AC80" s="553"/>
      <c r="AD80" s="555"/>
      <c r="AE80" s="555"/>
    </row>
    <row r="81" spans="6:31" x14ac:dyDescent="0.2">
      <c r="F81" s="204" t="s">
        <v>246</v>
      </c>
      <c r="H81" s="10" t="s">
        <v>188</v>
      </c>
      <c r="I81"/>
      <c r="J81"/>
      <c r="K81"/>
      <c r="Z81" s="195" t="s">
        <v>190</v>
      </c>
      <c r="AA81" s="195"/>
      <c r="AB81" s="195"/>
      <c r="AC81" s="195"/>
      <c r="AD81" s="204"/>
      <c r="AE81" s="204"/>
    </row>
    <row r="82" spans="6:31" x14ac:dyDescent="0.2">
      <c r="F82" s="204" t="s">
        <v>246</v>
      </c>
      <c r="H82"/>
      <c r="I82"/>
      <c r="J82"/>
      <c r="K82"/>
      <c r="Z82" s="447" t="str">
        <f t="array" aca="1" ref="Z82:Z84" ca="1">OFFSET(Import.RespOrçamento,0,-1) &amp; " " &amp; Import.RespOrçamento</f>
        <v>Nome: DANIEL RODRIGO GOERLACH</v>
      </c>
      <c r="AB82"/>
      <c r="AC82" s="80"/>
      <c r="AD82" s="204"/>
      <c r="AE82" s="204"/>
    </row>
    <row r="83" spans="6:31" x14ac:dyDescent="0.2">
      <c r="F83" s="204" t="s">
        <v>246</v>
      </c>
      <c r="H83" s="640">
        <f ca="1">DADOS!$F$25</f>
        <v>46037</v>
      </c>
      <c r="I83" s="640"/>
      <c r="J83" s="640"/>
      <c r="K83" s="194"/>
      <c r="L83" s="285"/>
      <c r="M83" s="285"/>
      <c r="N83" s="285"/>
      <c r="O83" s="285"/>
      <c r="P83" s="285"/>
      <c r="Q83" s="285"/>
      <c r="R83" s="286"/>
      <c r="Z83" s="447" t="str">
        <f ca="1"/>
        <v>CREA/CAU: CREA/RS 130.189</v>
      </c>
      <c r="AB83" s="80"/>
      <c r="AC83" s="80"/>
      <c r="AD83" s="204"/>
      <c r="AE83" s="204"/>
    </row>
    <row r="84" spans="6:31" x14ac:dyDescent="0.2">
      <c r="F84" s="204" t="s">
        <v>246</v>
      </c>
      <c r="H84" s="10" t="s">
        <v>189</v>
      </c>
      <c r="I84"/>
      <c r="J84"/>
      <c r="K84"/>
      <c r="Z84" s="447" t="str">
        <f ca="1"/>
        <v xml:space="preserve">ART/RRT: </v>
      </c>
      <c r="AB84" s="80"/>
      <c r="AC84" s="80"/>
      <c r="AD84" s="204"/>
      <c r="AE84" s="204"/>
    </row>
  </sheetData>
  <autoFilter ref="F13:F84">
    <filterColumn colId="0">
      <filters>
        <filter val="F"/>
      </filters>
    </filterColumn>
  </autoFilter>
  <mergeCells count="17">
    <mergeCell ref="H83:J83"/>
    <mergeCell ref="AD4:AE4"/>
    <mergeCell ref="AD5:AE5"/>
    <mergeCell ref="Y8:AD8"/>
    <mergeCell ref="R12:R13"/>
    <mergeCell ref="S12:S13"/>
    <mergeCell ref="K8:S8"/>
    <mergeCell ref="T8:X8"/>
    <mergeCell ref="J10:S11"/>
    <mergeCell ref="H80:R80"/>
    <mergeCell ref="F8:F11"/>
    <mergeCell ref="H8:I8"/>
    <mergeCell ref="G7:G9"/>
    <mergeCell ref="H69:J70"/>
    <mergeCell ref="G12:G13"/>
    <mergeCell ref="H12:H13"/>
    <mergeCell ref="I12:I13"/>
  </mergeCells>
  <phoneticPr fontId="38" type="noConversion"/>
  <conditionalFormatting sqref="T12:T13">
    <cfRule type="expression" dxfId="272" priority="1967" stopIfTrue="1">
      <formula>NOT(ISNUMBER(S$12))</formula>
    </cfRule>
  </conditionalFormatting>
  <conditionalFormatting sqref="D2 T2:AF2">
    <cfRule type="expression" dxfId="271" priority="1968" stopIfTrue="1">
      <formula>AND(ISNUMBER($G1),$G1&lt;&gt;0)</formula>
    </cfRule>
  </conditionalFormatting>
  <conditionalFormatting sqref="H2:R2">
    <cfRule type="expression" dxfId="270" priority="1969" stopIfTrue="1">
      <formula>$L1=2</formula>
    </cfRule>
    <cfRule type="expression" dxfId="269" priority="1970" stopIfTrue="1">
      <formula>AND($L1=1,$R1&lt;&gt;"")</formula>
    </cfRule>
  </conditionalFormatting>
  <conditionalFormatting sqref="H1:R1">
    <cfRule type="expression" dxfId="268" priority="1971" stopIfTrue="1">
      <formula>$L1=2</formula>
    </cfRule>
    <cfRule type="expression" dxfId="267" priority="1972" stopIfTrue="1">
      <formula>AND($L1=1,$R1&lt;&gt;"")</formula>
    </cfRule>
  </conditionalFormatting>
  <conditionalFormatting sqref="D69:D73 T70:AE70 T72:AE72">
    <cfRule type="expression" dxfId="266" priority="1973" stopIfTrue="1">
      <formula>D$69=0</formula>
    </cfRule>
  </conditionalFormatting>
  <conditionalFormatting sqref="D74:D78">
    <cfRule type="expression" dxfId="265" priority="1974" stopIfTrue="1">
      <formula>C$74=1</formula>
    </cfRule>
  </conditionalFormatting>
  <conditionalFormatting sqref="U74:AE74 U76:AE76 U78:AE78">
    <cfRule type="expression" dxfId="264" priority="1975" stopIfTrue="1">
      <formula>OFFSET(U$74,0,-1)&gt;=1</formula>
    </cfRule>
  </conditionalFormatting>
  <conditionalFormatting sqref="U75:AE75 U77:AE77">
    <cfRule type="expression" dxfId="263" priority="1976" stopIfTrue="1">
      <formula>OFFSET(U$74,0,-1)&gt;=1</formula>
    </cfRule>
  </conditionalFormatting>
  <conditionalFormatting sqref="T69:AE69 T71:AE71 T73:AE73">
    <cfRule type="expression" dxfId="262" priority="1977" stopIfTrue="1">
      <formula>T$69=0</formula>
    </cfRule>
  </conditionalFormatting>
  <conditionalFormatting sqref="AE7:AE8">
    <cfRule type="expression" dxfId="261" priority="1978" stopIfTrue="1">
      <formula>OR(TIPOORCAMENTO&lt;&gt;"Licitado",QCI.ExisteManual)</formula>
    </cfRule>
  </conditionalFormatting>
  <conditionalFormatting sqref="D1 T1:AE1">
    <cfRule type="expression" dxfId="260" priority="1979" stopIfTrue="1">
      <formula>D1&lt;&gt;0</formula>
    </cfRule>
  </conditionalFormatting>
  <conditionalFormatting sqref="Y7:AD8">
    <cfRule type="expression" dxfId="259" priority="1966" stopIfTrue="1">
      <formula>QCI.ExisteManual</formula>
    </cfRule>
  </conditionalFormatting>
  <conditionalFormatting sqref="D15 D18 D21 T15:AF15 T18:AF18 T21:AF21">
    <cfRule type="expression" dxfId="258" priority="127" stopIfTrue="1">
      <formula>AND(ISNUMBER($G14),$G14&lt;&gt;0)</formula>
    </cfRule>
  </conditionalFormatting>
  <conditionalFormatting sqref="H15:R15 H18:R18 H21:R21">
    <cfRule type="expression" dxfId="257" priority="128" stopIfTrue="1">
      <formula>$L14=2</formula>
    </cfRule>
    <cfRule type="expression" dxfId="256" priority="129" stopIfTrue="1">
      <formula>AND($L14=1,$R14&lt;&gt;"")</formula>
    </cfRule>
  </conditionalFormatting>
  <conditionalFormatting sqref="H14:R14 H17:R17 H20:R20">
    <cfRule type="expression" dxfId="255" priority="130" stopIfTrue="1">
      <formula>$L14=2</formula>
    </cfRule>
    <cfRule type="expression" dxfId="254" priority="131" stopIfTrue="1">
      <formula>AND($L14=1,$R14&lt;&gt;"")</formula>
    </cfRule>
  </conditionalFormatting>
  <conditionalFormatting sqref="D14 D17 D20 T14:AE14 T17:AE17 T20:AE20">
    <cfRule type="expression" dxfId="253" priority="132" stopIfTrue="1">
      <formula>D14&lt;&gt;0</formula>
    </cfRule>
  </conditionalFormatting>
  <conditionalFormatting sqref="D24 T24:AF24">
    <cfRule type="expression" dxfId="252" priority="121" stopIfTrue="1">
      <formula>AND(ISNUMBER($G23),$G23&lt;&gt;0)</formula>
    </cfRule>
  </conditionalFormatting>
  <conditionalFormatting sqref="H24:R24">
    <cfRule type="expression" dxfId="251" priority="122" stopIfTrue="1">
      <formula>$L23=2</formula>
    </cfRule>
    <cfRule type="expression" dxfId="250" priority="123" stopIfTrue="1">
      <formula>AND($L23=1,$R23&lt;&gt;"")</formula>
    </cfRule>
  </conditionalFormatting>
  <conditionalFormatting sqref="H23:R23">
    <cfRule type="expression" dxfId="249" priority="124" stopIfTrue="1">
      <formula>$L23=2</formula>
    </cfRule>
    <cfRule type="expression" dxfId="248" priority="125" stopIfTrue="1">
      <formula>AND($L23=1,$R23&lt;&gt;"")</formula>
    </cfRule>
  </conditionalFormatting>
  <conditionalFormatting sqref="D23 T23:AE23">
    <cfRule type="expression" dxfId="247" priority="126" stopIfTrue="1">
      <formula>D23&lt;&gt;0</formula>
    </cfRule>
  </conditionalFormatting>
  <conditionalFormatting sqref="D27 D30 D33 T27:AF27 T30:AF30 T33:AF33">
    <cfRule type="expression" dxfId="246" priority="25" stopIfTrue="1">
      <formula>AND(ISNUMBER($G26),$G26&lt;&gt;0)</formula>
    </cfRule>
  </conditionalFormatting>
  <conditionalFormatting sqref="H27:R27 H30:R30 H33:R33">
    <cfRule type="expression" dxfId="245" priority="26" stopIfTrue="1">
      <formula>$L26=2</formula>
    </cfRule>
    <cfRule type="expression" dxfId="244" priority="27" stopIfTrue="1">
      <formula>AND($L26=1,$R26&lt;&gt;"")</formula>
    </cfRule>
  </conditionalFormatting>
  <conditionalFormatting sqref="H26:R26 H29:R29 H32:R32">
    <cfRule type="expression" dxfId="243" priority="28" stopIfTrue="1">
      <formula>$L26=2</formula>
    </cfRule>
    <cfRule type="expression" dxfId="242" priority="29" stopIfTrue="1">
      <formula>AND($L26=1,$R26&lt;&gt;"")</formula>
    </cfRule>
  </conditionalFormatting>
  <conditionalFormatting sqref="D26 D29 D32 T26:AE26 T29:AE29 T32:AE32">
    <cfRule type="expression" dxfId="241" priority="30" stopIfTrue="1">
      <formula>D26&lt;&gt;0</formula>
    </cfRule>
  </conditionalFormatting>
  <conditionalFormatting sqref="D36 D39 D42 T36:AF36 T39:AF39 T42:AF42">
    <cfRule type="expression" dxfId="240" priority="19" stopIfTrue="1">
      <formula>AND(ISNUMBER($G35),$G35&lt;&gt;0)</formula>
    </cfRule>
  </conditionalFormatting>
  <conditionalFormatting sqref="H36:R36 H39:R39 H42:R42">
    <cfRule type="expression" dxfId="239" priority="20" stopIfTrue="1">
      <formula>$L35=2</formula>
    </cfRule>
    <cfRule type="expression" dxfId="238" priority="21" stopIfTrue="1">
      <formula>AND($L35=1,$R35&lt;&gt;"")</formula>
    </cfRule>
  </conditionalFormatting>
  <conditionalFormatting sqref="H35:R35 H38:R38 H41:R41">
    <cfRule type="expression" dxfId="237" priority="22" stopIfTrue="1">
      <formula>$L35=2</formula>
    </cfRule>
    <cfRule type="expression" dxfId="236" priority="23" stopIfTrue="1">
      <formula>AND($L35=1,$R35&lt;&gt;"")</formula>
    </cfRule>
  </conditionalFormatting>
  <conditionalFormatting sqref="D35 D38 D41 T35:AE35 T38:AE38 T41:AE41">
    <cfRule type="expression" dxfId="235" priority="24" stopIfTrue="1">
      <formula>D35&lt;&gt;0</formula>
    </cfRule>
  </conditionalFormatting>
  <conditionalFormatting sqref="D45 D48 D51 T45:AF45 T48:AF48 T51:AF51">
    <cfRule type="expression" dxfId="234" priority="13" stopIfTrue="1">
      <formula>AND(ISNUMBER($G44),$G44&lt;&gt;0)</formula>
    </cfRule>
  </conditionalFormatting>
  <conditionalFormatting sqref="H45:R45 H48:R48 H51:R51">
    <cfRule type="expression" dxfId="233" priority="14" stopIfTrue="1">
      <formula>$L44=2</formula>
    </cfRule>
    <cfRule type="expression" dxfId="232" priority="15" stopIfTrue="1">
      <formula>AND($L44=1,$R44&lt;&gt;"")</formula>
    </cfRule>
  </conditionalFormatting>
  <conditionalFormatting sqref="H44:R44 H47:R47 H50:R50">
    <cfRule type="expression" dxfId="231" priority="16" stopIfTrue="1">
      <formula>$L44=2</formula>
    </cfRule>
    <cfRule type="expression" dxfId="230" priority="17" stopIfTrue="1">
      <formula>AND($L44=1,$R44&lt;&gt;"")</formula>
    </cfRule>
  </conditionalFormatting>
  <conditionalFormatting sqref="D44 D47 D50 T44:AE44 T47:AE47 T50:AE50">
    <cfRule type="expression" dxfId="229" priority="18" stopIfTrue="1">
      <formula>D44&lt;&gt;0</formula>
    </cfRule>
  </conditionalFormatting>
  <conditionalFormatting sqref="D54 D57 D60 T54:AF54 T57:AF57 T60:AF60">
    <cfRule type="expression" dxfId="228" priority="7" stopIfTrue="1">
      <formula>AND(ISNUMBER($G53),$G53&lt;&gt;0)</formula>
    </cfRule>
  </conditionalFormatting>
  <conditionalFormatting sqref="H54:R54 H57:R57 H60:R60">
    <cfRule type="expression" dxfId="227" priority="8" stopIfTrue="1">
      <formula>$L53=2</formula>
    </cfRule>
    <cfRule type="expression" dxfId="226" priority="9" stopIfTrue="1">
      <formula>AND($L53=1,$R53&lt;&gt;"")</formula>
    </cfRule>
  </conditionalFormatting>
  <conditionalFormatting sqref="H53:R53 H56:R56 H59:R59">
    <cfRule type="expression" dxfId="225" priority="10" stopIfTrue="1">
      <formula>$L53=2</formula>
    </cfRule>
    <cfRule type="expression" dxfId="224" priority="11" stopIfTrue="1">
      <formula>AND($L53=1,$R53&lt;&gt;"")</formula>
    </cfRule>
  </conditionalFormatting>
  <conditionalFormatting sqref="D53 D56 D59 T53:AE53 T56:AE56 T59:AE59">
    <cfRule type="expression" dxfId="223" priority="12" stopIfTrue="1">
      <formula>D53&lt;&gt;0</formula>
    </cfRule>
  </conditionalFormatting>
  <conditionalFormatting sqref="D63 D66 T63:AF63 T66:AF66">
    <cfRule type="expression" dxfId="222" priority="1" stopIfTrue="1">
      <formula>AND(ISNUMBER($G62),$G62&lt;&gt;0)</formula>
    </cfRule>
  </conditionalFormatting>
  <conditionalFormatting sqref="H63:R63 H66:R66">
    <cfRule type="expression" dxfId="221" priority="2" stopIfTrue="1">
      <formula>$L62=2</formula>
    </cfRule>
    <cfRule type="expression" dxfId="220" priority="3" stopIfTrue="1">
      <formula>AND($L62=1,$R62&lt;&gt;"")</formula>
    </cfRule>
  </conditionalFormatting>
  <conditionalFormatting sqref="H62:R62 H65:R65">
    <cfRule type="expression" dxfId="219" priority="4" stopIfTrue="1">
      <formula>$L62=2</formula>
    </cfRule>
    <cfRule type="expression" dxfId="218" priority="5" stopIfTrue="1">
      <formula>AND($L62=1,$R62&lt;&gt;"")</formula>
    </cfRule>
  </conditionalFormatting>
  <conditionalFormatting sqref="D62 D65 T62:AE62 T65:AE65">
    <cfRule type="expression" dxfId="217" priority="6" stopIfTrue="1">
      <formula>D62&lt;&gt;0</formula>
    </cfRule>
  </conditionalFormatting>
  <dataValidations xWindow="655" yWindow="850" count="5">
    <dataValidation type="list" allowBlank="1" showErrorMessage="1" sqref="G10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T23:AE23 D26 D29 D32 T26:AE26 T29:AE29 T32:AE32 D35 D38 D41 T35:AE35 T38:AE38 T41:AE41 D44 D47 D50 T44:AE44 T47:AE47 T50:AE50 D53 D56 D59 T53:AE53 T56:AE56 T59:AE59 D62 D65 T62:AE62 T65:AE65"/>
    <dataValidation type="whole" operator="greaterThan" allowBlank="1" showErrorMessage="1" sqref="T12">
      <formula1>0</formula1>
      <formula2>0</formula2>
    </dataValidation>
    <dataValidation type="decimal" allowBlank="1" showErrorMessage="1" error="Porcentagem Acumulada &gt; 100%." sqref="D2 T2:AF2 D15 D18 D21 T15:AF15 T18:AF18 T21:AF21 D24 T24:AF24 D27 D30 D33 T27:AF27 T30:AF30 T33:AF33 D36 D39 D42 T36:AF36 T39:AF39 T42:AF42 D45 D48 D51 T45:AF45 T48:AF48 T51:AF51 D54 D57 D60 T54:AF54 T57:AF57 T60:AF60 D63 D66 T63:AF63 T66:AF66">
      <formula1>0</formula1>
      <formula2>CRONO.MaxParc</formula2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IF(AUTOEVENTO="Manual",IF(OFFSET(EVENTOS!$F$14,CRONOPLE!$B1,0)&gt;0,"F",""),IF(CRONOPLE!B1&lt;=MAX(CÁLCULO!$M$15:$M$119),"F",""))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IF(AUTOEVENTO="Manual",IF($B1&lt;&gt;1,OFFSET(EVENTOS!$D$14,$B1,0),0),IF(B1&lt;=MAX(CÁLCULO!$M$15:$M$119),VLOOKUP($B1,CÁLCULO!$M$15:$N$119,2,FALSE),0))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CRONO",IF(MAX($B$14:$B$65)&lt;MAX(CÁLCULO!$M$15:$M$119),"ERRO: NÚMERO DE EVENTOS INSUFICIENTE, CLIQUE EM ATUALIZAR LINHAS",IF(ROUND(OFFSET(CRONO!$AF$78,0,-1),2)&lt;&gt;CRONO!$Q$69,"ERRO: CRONOGRAMA NÃO FECHA 100%","")))</f>
        <v>NO ACOMPANHAMENTO POR BM, UTILIZE A ABA CRONO</v>
      </c>
    </row>
    <row r="11" spans="1:31" ht="65.25" customHeight="1" x14ac:dyDescent="0.2">
      <c r="A11" s="291"/>
      <c r="C11" s="292"/>
      <c r="E11" s="293">
        <f ca="1">IF(E$12&gt;CÁLCULO.NúmeroDeFrentes,"",OFFSET(CÁLCULO!$P$12,0,E$12))</f>
        <v>0</v>
      </c>
      <c r="G11" s="293">
        <f ca="1">IF(G$12&gt;CÁLCULO.NúmeroDeFrentes,"",OFFSET(CÁLCULO!$P$12,0,G$12))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6" t="s">
        <v>266</v>
      </c>
      <c r="C12" s="646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6"/>
      <c r="C13" s="646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IF(AUTOEVENTO="Manual",IF(OFFSET(EVENTOS!$F$14,CRONOPLE!$B16,0)&gt;0,"F",""),IF(CRONOPLE!B16&lt;=MAX(CÁLCULO!$M$15:$M$119),"F",""))</f>
        <v>F</v>
      </c>
      <c r="B16" s="287">
        <f t="shared" ref="B16:B64" ca="1" si="1">OFFSET(B16,-1,0)+1</f>
        <v>2</v>
      </c>
      <c r="C16" s="288" t="str">
        <f ca="1">IF(AUTOEVENTO="Manual",IF($B16&lt;&gt;1,OFFSET(EVENTOS!$D$14,$B16,0),0),IF(B16&lt;=MAX(CÁLCULO!$M$15:$M$119),VLOOKUP($B16,CÁLCULO!$M$15:$N$119,2,FALSE),0))</f>
        <v xml:space="preserve">SERVIÇOS INICIAIS </v>
      </c>
      <c r="E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IF(AUTOEVENTO="Manual",IF(OFFSET(EVENTOS!$F$14,CRONOPLE!$B17,0)&gt;0,"F",""),IF(CRONOPLE!B17&lt;=MAX(CÁLCULO!$M$15:$M$119),"F",""))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IF(AUTOEVENTO="Manual",IF($B17&lt;&gt;1,OFFSET(EVENTOS!$D$14,$B17,0),0),IF(B17&lt;=MAX(CÁLCULO!$M$15:$M$119),VLOOKUP($B17,CÁLCULO!$M$15:$N$119,2,FALSE),0))</f>
        <v>ADMINISTRAÇÃO LOCAL</v>
      </c>
      <c r="E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IF(AUTOEVENTO="Manual",IF(OFFSET(EVENTOS!$F$14,CRONOPLE!$B18,0)&gt;0,"F",""),IF(CRONOPLE!B18&lt;=MAX(CÁLCULO!$M$15:$M$119),"F",""))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IF(AUTOEVENTO="Manual",IF($B18&lt;&gt;1,OFFSET(EVENTOS!$D$14,$B18,0),0),IF(B18&lt;=MAX(CÁLCULO!$M$15:$M$119),VLOOKUP($B18,CÁLCULO!$M$15:$N$119,2,FALSE),0))</f>
        <v>DRENAGEM</v>
      </c>
      <c r="E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IF(AUTOEVENTO="Manual",IF(OFFSET(EVENTOS!$F$14,CRONOPLE!$B19,0)&gt;0,"F",""),IF(CRONOPLE!B19&lt;=MAX(CÁLCULO!$M$15:$M$119),"F",""))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IF(AUTOEVENTO="Manual",IF($B19&lt;&gt;1,OFFSET(EVENTOS!$D$14,$B19,0),0),IF(B19&lt;=MAX(CÁLCULO!$M$15:$M$119),VLOOKUP($B19,CÁLCULO!$M$15:$N$119,2,FALSE),0))</f>
        <v>PAVIMENTAÇÃO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IF(AUTOEVENTO="Manual",IF(OFFSET(EVENTOS!$F$14,CRONOPLE!$B20,0)&gt;0,"F",""),IF(CRONOPLE!B20&lt;=MAX(CÁLCULO!$M$15:$M$119),"F",""))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IF(AUTOEVENTO="Manual",IF($B20&lt;&gt;1,OFFSET(EVENTOS!$D$14,$B20,0),0),IF(B20&lt;=MAX(CÁLCULO!$M$15:$M$119),VLOOKUP($B20,CÁLCULO!$M$15:$N$119,2,FALSE),0))</f>
        <v>SINALIZAÇÃO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IF(AUTOEVENTO="Manual",IF(OFFSET(EVENTOS!$F$14,CRONOPLE!$B21,0)&gt;0,"F",""),IF(CRONOPLE!B21&lt;=MAX(CÁLCULO!$M$15:$M$119),"F",""))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IF(AUTOEVENTO="Manual",IF($B21&lt;&gt;1,OFFSET(EVENTOS!$D$14,$B21,0),0),IF(B21&lt;=MAX(CÁLCULO!$M$15:$M$119),VLOOKUP($B21,CÁLCULO!$M$15:$N$119,2,FALSE),0))</f>
        <v xml:space="preserve">SERVIÇOS INICIAIS 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IF(AUTOEVENTO="Manual",IF(OFFSET(EVENTOS!$F$14,CRONOPLE!$B22,0)&gt;0,"F",""),IF(CRONOPLE!B22&lt;=MAX(CÁLCULO!$M$15:$M$119),"F",""))</f>
        <v>F</v>
      </c>
      <c r="B22" s="287">
        <f t="shared" ca="1" si="1"/>
        <v>8</v>
      </c>
      <c r="C22" s="288" t="str">
        <f ca="1">IF(AUTOEVENTO="Manual",IF($B22&lt;&gt;1,OFFSET(EVENTOS!$D$14,$B22,0),0),IF(B22&lt;=MAX(CÁLCULO!$M$15:$M$119),VLOOKUP($B22,CÁLCULO!$M$15:$N$119,2,FALSE),0))</f>
        <v>ADMINISTRAÇÃO LOCAL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IF(AUTOEVENTO="Manual",IF(OFFSET(EVENTOS!$F$14,CRONOPLE!$B23,0)&gt;0,"F",""),IF(CRONOPLE!B23&lt;=MAX(CÁLCULO!$M$15:$M$119),"F",""))</f>
        <v>F</v>
      </c>
      <c r="B23" s="287">
        <f t="shared" ca="1" si="1"/>
        <v>9</v>
      </c>
      <c r="C23" s="288" t="str">
        <f ca="1">IF(AUTOEVENTO="Manual",IF($B23&lt;&gt;1,OFFSET(EVENTOS!$D$14,$B23,0),0),IF(B23&lt;=MAX(CÁLCULO!$M$15:$M$119),VLOOKUP($B23,CÁLCULO!$M$15:$N$119,2,FALSE),0))</f>
        <v>DRENAGEM PLUVIAL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IF(AUTOEVENTO="Manual",IF(OFFSET(EVENTOS!$F$14,CRONOPLE!$B24,0)&gt;0,"F",""),IF(CRONOPLE!B24&lt;=MAX(CÁLCULO!$M$15:$M$119),"F",""))</f>
        <v>F</v>
      </c>
      <c r="B24" s="287">
        <f t="shared" ca="1" si="1"/>
        <v>10</v>
      </c>
      <c r="C24" s="288" t="str">
        <f ca="1">IF(AUTOEVENTO="Manual",IF($B24&lt;&gt;1,OFFSET(EVENTOS!$D$14,$B24,0),0),IF(B24&lt;=MAX(CÁLCULO!$M$15:$M$119),VLOOKUP($B24,CÁLCULO!$M$15:$N$119,2,FALSE),0))</f>
        <v>PAVIMENTAÇÃO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IF(AUTOEVENTO="Manual",IF(OFFSET(EVENTOS!$F$14,CRONOPLE!$B25,0)&gt;0,"F",""),IF(CRONOPLE!B25&lt;=MAX(CÁLCULO!$M$15:$M$119),"F",""))</f>
        <v>F</v>
      </c>
      <c r="B25" s="287">
        <f t="shared" ca="1" si="1"/>
        <v>11</v>
      </c>
      <c r="C25" s="288" t="str">
        <f ca="1">IF(AUTOEVENTO="Manual",IF($B25&lt;&gt;1,OFFSET(EVENTOS!$D$14,$B25,0),0),IF(B25&lt;=MAX(CÁLCULO!$M$15:$M$119),VLOOKUP($B25,CÁLCULO!$M$15:$N$119,2,FALSE),0))</f>
        <v>SINALIZAÇÃO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IF(AUTOEVENTO="Manual",IF(OFFSET(EVENTOS!$F$14,CRONOPLE!$B26,0)&gt;0,"F",""),IF(CRONOPLE!B26&lt;=MAX(CÁLCULO!$M$15:$M$119),"F",""))</f>
        <v>F</v>
      </c>
      <c r="B26" s="287">
        <f t="shared" ca="1" si="1"/>
        <v>12</v>
      </c>
      <c r="C26" s="288" t="str">
        <f ca="1">IF(AUTOEVENTO="Manual",IF($B26&lt;&gt;1,OFFSET(EVENTOS!$D$14,$B26,0),0),IF(B26&lt;=MAX(CÁLCULO!$M$15:$M$119),VLOOKUP($B26,CÁLCULO!$M$15:$N$119,2,FALSE),0))</f>
        <v xml:space="preserve">SERVIÇOS INICIAIS 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IF(AUTOEVENTO="Manual",IF(OFFSET(EVENTOS!$F$14,CRONOPLE!$B27,0)&gt;0,"F",""),IF(CRONOPLE!B27&lt;=MAX(CÁLCULO!$M$15:$M$119),"F",""))</f>
        <v>F</v>
      </c>
      <c r="B27" s="287">
        <f t="shared" ca="1" si="1"/>
        <v>13</v>
      </c>
      <c r="C27" s="288" t="str">
        <f ca="1">IF(AUTOEVENTO="Manual",IF($B27&lt;&gt;1,OFFSET(EVENTOS!$D$14,$B27,0),0),IF(B27&lt;=MAX(CÁLCULO!$M$15:$M$119),VLOOKUP($B27,CÁLCULO!$M$15:$N$119,2,FALSE),0))</f>
        <v>ADMINISTRAÇÃO LOCAL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IF(AUTOEVENTO="Manual",IF(OFFSET(EVENTOS!$F$14,CRONOPLE!$B28,0)&gt;0,"F",""),IF(CRONOPLE!B28&lt;=MAX(CÁLCULO!$M$15:$M$119),"F",""))</f>
        <v>F</v>
      </c>
      <c r="B28" s="287">
        <f t="shared" ca="1" si="1"/>
        <v>14</v>
      </c>
      <c r="C28" s="288" t="str">
        <f ca="1">IF(AUTOEVENTO="Manual",IF($B28&lt;&gt;1,OFFSET(EVENTOS!$D$14,$B28,0),0),IF(B28&lt;=MAX(CÁLCULO!$M$15:$M$119),VLOOKUP($B28,CÁLCULO!$M$15:$N$119,2,FALSE),0))</f>
        <v>DRENAGEM PLUVIAL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IF(AUTOEVENTO="Manual",IF(OFFSET(EVENTOS!$F$14,CRONOPLE!$B29,0)&gt;0,"F",""),IF(CRONOPLE!B29&lt;=MAX(CÁLCULO!$M$15:$M$119),"F",""))</f>
        <v>F</v>
      </c>
      <c r="B29" s="287">
        <f t="shared" ca="1" si="1"/>
        <v>15</v>
      </c>
      <c r="C29" s="288" t="str">
        <f ca="1">IF(AUTOEVENTO="Manual",IF($B29&lt;&gt;1,OFFSET(EVENTOS!$D$14,$B29,0),0),IF(B29&lt;=MAX(CÁLCULO!$M$15:$M$119),VLOOKUP($B29,CÁLCULO!$M$15:$N$119,2,FALSE),0))</f>
        <v>PAVIMENTAÇÃO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IF(AUTOEVENTO="Manual",IF(OFFSET(EVENTOS!$F$14,CRONOPLE!$B30,0)&gt;0,"F",""),IF(CRONOPLE!B30&lt;=MAX(CÁLCULO!$M$15:$M$119),"F",""))</f>
        <v>F</v>
      </c>
      <c r="B30" s="287">
        <f t="shared" ca="1" si="1"/>
        <v>16</v>
      </c>
      <c r="C30" s="288" t="str">
        <f ca="1">IF(AUTOEVENTO="Manual",IF($B30&lt;&gt;1,OFFSET(EVENTOS!$D$14,$B30,0),0),IF(B30&lt;=MAX(CÁLCULO!$M$15:$M$119),VLOOKUP($B30,CÁLCULO!$M$15:$N$119,2,FALSE),0))</f>
        <v>SINALIZAÇÃO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IF(AUTOEVENTO="Manual",IF(OFFSET(EVENTOS!$F$14,CRONOPLE!$B31,0)&gt;0,"F",""),IF(CRONOPLE!B31&lt;=MAX(CÁLCULO!$M$15:$M$119),"F",""))</f>
        <v/>
      </c>
      <c r="B31" s="287">
        <f t="shared" ca="1" si="1"/>
        <v>17</v>
      </c>
      <c r="C31" s="288">
        <f ca="1">IF(AUTOEVENTO="Manual",IF($B31&lt;&gt;1,OFFSET(EVENTOS!$D$14,$B31,0),0),IF(B31&lt;=MAX(CÁLCULO!$M$15:$M$119),VLOOKUP($B31,CÁLCULO!$M$15:$N$119,2,FALSE),0))</f>
        <v>0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IF(AUTOEVENTO="Manual",IF(OFFSET(EVENTOS!$F$14,CRONOPLE!$B32,0)&gt;0,"F",""),IF(CRONOPLE!B32&lt;=MAX(CÁLCULO!$M$15:$M$119),"F",""))</f>
        <v/>
      </c>
      <c r="B32" s="287">
        <f t="shared" ca="1" si="1"/>
        <v>18</v>
      </c>
      <c r="C32" s="288">
        <f ca="1">IF(AUTOEVENTO="Manual",IF($B32&lt;&gt;1,OFFSET(EVENTOS!$D$14,$B32,0),0),IF(B32&lt;=MAX(CÁLCULO!$M$15:$M$119),VLOOKUP($B32,CÁLCULO!$M$15:$N$119,2,FALSE),0))</f>
        <v>0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IF(AUTOEVENTO="Manual",IF(OFFSET(EVENTOS!$F$14,CRONOPLE!$B33,0)&gt;0,"F",""),IF(CRONOPLE!B33&lt;=MAX(CÁLCULO!$M$15:$M$119),"F",""))</f>
        <v/>
      </c>
      <c r="B33" s="287">
        <f t="shared" ca="1" si="1"/>
        <v>19</v>
      </c>
      <c r="C33" s="288">
        <f ca="1">IF(AUTOEVENTO="Manual",IF($B33&lt;&gt;1,OFFSET(EVENTOS!$D$14,$B33,0),0),IF(B33&lt;=MAX(CÁLCULO!$M$15:$M$119),VLOOKUP($B33,CÁLCULO!$M$15:$N$119,2,FALSE),0))</f>
        <v>0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IF(AUTOEVENTO="Manual",IF(OFFSET(EVENTOS!$F$14,CRONOPLE!$B34,0)&gt;0,"F",""),IF(CRONOPLE!B34&lt;=MAX(CÁLCULO!$M$15:$M$119),"F",""))</f>
        <v/>
      </c>
      <c r="B34" s="287">
        <f t="shared" ca="1" si="1"/>
        <v>20</v>
      </c>
      <c r="C34" s="288">
        <f ca="1">IF(AUTOEVENTO="Manual",IF($B34&lt;&gt;1,OFFSET(EVENTOS!$D$14,$B34,0),0),IF(B34&lt;=MAX(CÁLCULO!$M$15:$M$119),VLOOKUP($B34,CÁLCULO!$M$15:$N$119,2,FALSE),0))</f>
        <v>0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IF(AUTOEVENTO="Manual",IF(OFFSET(EVENTOS!$F$14,CRONOPLE!$B35,0)&gt;0,"F",""),IF(CRONOPLE!B35&lt;=MAX(CÁLCULO!$M$15:$M$119),"F",""))</f>
        <v/>
      </c>
      <c r="B35" s="287">
        <f t="shared" ca="1" si="1"/>
        <v>21</v>
      </c>
      <c r="C35" s="288">
        <f ca="1">IF(AUTOEVENTO="Manual",IF($B35&lt;&gt;1,OFFSET(EVENTOS!$D$14,$B35,0),0),IF(B35&lt;=MAX(CÁLCULO!$M$15:$M$119),VLOOKUP($B35,CÁLCULO!$M$15:$N$119,2,FALSE),0))</f>
        <v>0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IF(AUTOEVENTO="Manual",IF(OFFSET(EVENTOS!$F$14,CRONOPLE!$B36,0)&gt;0,"F",""),IF(CRONOPLE!B36&lt;=MAX(CÁLCULO!$M$15:$M$119),"F",""))</f>
        <v/>
      </c>
      <c r="B36" s="287">
        <f t="shared" ca="1" si="1"/>
        <v>22</v>
      </c>
      <c r="C36" s="288">
        <f ca="1">IF(AUTOEVENTO="Manual",IF($B36&lt;&gt;1,OFFSET(EVENTOS!$D$14,$B36,0),0),IF(B36&lt;=MAX(CÁLCULO!$M$15:$M$119),VLOOKUP($B36,CÁLCULO!$M$15:$N$119,2,FALSE),0))</f>
        <v>0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IF(AUTOEVENTO="Manual",IF(OFFSET(EVENTOS!$F$14,CRONOPLE!$B37,0)&gt;0,"F",""),IF(CRONOPLE!B37&lt;=MAX(CÁLCULO!$M$15:$M$119),"F",""))</f>
        <v/>
      </c>
      <c r="B37" s="287">
        <f t="shared" ca="1" si="1"/>
        <v>23</v>
      </c>
      <c r="C37" s="288">
        <f ca="1">IF(AUTOEVENTO="Manual",IF($B37&lt;&gt;1,OFFSET(EVENTOS!$D$14,$B37,0),0),IF(B37&lt;=MAX(CÁLCULO!$M$15:$M$119),VLOOKUP($B37,CÁLCULO!$M$15:$N$119,2,FALSE),0))</f>
        <v>0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IF(AUTOEVENTO="Manual",IF(OFFSET(EVENTOS!$F$14,CRONOPLE!$B38,0)&gt;0,"F",""),IF(CRONOPLE!B38&lt;=MAX(CÁLCULO!$M$15:$M$119),"F",""))</f>
        <v/>
      </c>
      <c r="B38" s="287">
        <f t="shared" ca="1" si="1"/>
        <v>24</v>
      </c>
      <c r="C38" s="288">
        <f ca="1">IF(AUTOEVENTO="Manual",IF($B38&lt;&gt;1,OFFSET(EVENTOS!$D$14,$B38,0),0),IF(B38&lt;=MAX(CÁLCULO!$M$15:$M$119),VLOOKUP($B38,CÁLCULO!$M$15:$N$119,2,FALSE),0))</f>
        <v>0</v>
      </c>
      <c r="E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IF(AUTOEVENTO="Manual",IF(OFFSET(EVENTOS!$F$14,CRONOPLE!$B39,0)&gt;0,"F",""),IF(CRONOPLE!B39&lt;=MAX(CÁLCULO!$M$15:$M$119),"F",""))</f>
        <v/>
      </c>
      <c r="B39" s="287">
        <f t="shared" ca="1" si="1"/>
        <v>25</v>
      </c>
      <c r="C39" s="288">
        <f ca="1">IF(AUTOEVENTO="Manual",IF($B39&lt;&gt;1,OFFSET(EVENTOS!$D$14,$B39,0),0),IF(B39&lt;=MAX(CÁLCULO!$M$15:$M$119),VLOOKUP($B39,CÁLCULO!$M$15:$N$119,2,FALSE),0))</f>
        <v>0</v>
      </c>
      <c r="E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IF(AUTOEVENTO="Manual",IF(OFFSET(EVENTOS!$F$14,CRONOPLE!$B40,0)&gt;0,"F",""),IF(CRONOPLE!B40&lt;=MAX(CÁLCULO!$M$15:$M$119),"F",""))</f>
        <v/>
      </c>
      <c r="B40" s="287">
        <f t="shared" ca="1" si="1"/>
        <v>26</v>
      </c>
      <c r="C40" s="288">
        <f ca="1">IF(AUTOEVENTO="Manual",IF($B40&lt;&gt;1,OFFSET(EVENTOS!$D$14,$B40,0),0),IF(B40&lt;=MAX(CÁLCULO!$M$15:$M$119),VLOOKUP($B40,CÁLCULO!$M$15:$N$119,2,FALSE),0))</f>
        <v>0</v>
      </c>
      <c r="E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IF(AUTOEVENTO="Manual",IF(OFFSET(EVENTOS!$F$14,CRONOPLE!$B41,0)&gt;0,"F",""),IF(CRONOPLE!B41&lt;=MAX(CÁLCULO!$M$15:$M$119),"F",""))</f>
        <v/>
      </c>
      <c r="B41" s="287">
        <f t="shared" ca="1" si="1"/>
        <v>27</v>
      </c>
      <c r="C41" s="288">
        <f ca="1">IF(AUTOEVENTO="Manual",IF($B41&lt;&gt;1,OFFSET(EVENTOS!$D$14,$B41,0),0),IF(B41&lt;=MAX(CÁLCULO!$M$15:$M$119),VLOOKUP($B41,CÁLCULO!$M$15:$N$119,2,FALSE),0))</f>
        <v>0</v>
      </c>
      <c r="E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IF(AUTOEVENTO="Manual",IF(OFFSET(EVENTOS!$F$14,CRONOPLE!$B42,0)&gt;0,"F",""),IF(CRONOPLE!B42&lt;=MAX(CÁLCULO!$M$15:$M$119),"F",""))</f>
        <v/>
      </c>
      <c r="B42" s="287">
        <f t="shared" ca="1" si="1"/>
        <v>28</v>
      </c>
      <c r="C42" s="288">
        <f ca="1">IF(AUTOEVENTO="Manual",IF($B42&lt;&gt;1,OFFSET(EVENTOS!$D$14,$B42,0),0),IF(B42&lt;=MAX(CÁLCULO!$M$15:$M$119),VLOOKUP($B42,CÁLCULO!$M$15:$N$119,2,FALSE),0))</f>
        <v>0</v>
      </c>
      <c r="E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IF(AUTOEVENTO="Manual",IF(OFFSET(EVENTOS!$F$14,CRONOPLE!$B43,0)&gt;0,"F",""),IF(CRONOPLE!B43&lt;=MAX(CÁLCULO!$M$15:$M$119),"F",""))</f>
        <v/>
      </c>
      <c r="B43" s="287">
        <f t="shared" ca="1" si="1"/>
        <v>29</v>
      </c>
      <c r="C43" s="288">
        <f ca="1">IF(AUTOEVENTO="Manual",IF($B43&lt;&gt;1,OFFSET(EVENTOS!$D$14,$B43,0),0),IF(B43&lt;=MAX(CÁLCULO!$M$15:$M$119),VLOOKUP($B43,CÁLCULO!$M$15:$N$119,2,FALSE),0))</f>
        <v>0</v>
      </c>
      <c r="E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IF(AUTOEVENTO="Manual",IF(OFFSET(EVENTOS!$F$14,CRONOPLE!$B44,0)&gt;0,"F",""),IF(CRONOPLE!B44&lt;=MAX(CÁLCULO!$M$15:$M$119),"F",""))</f>
        <v/>
      </c>
      <c r="B44" s="287">
        <f t="shared" ca="1" si="1"/>
        <v>30</v>
      </c>
      <c r="C44" s="288">
        <f ca="1">IF(AUTOEVENTO="Manual",IF($B44&lt;&gt;1,OFFSET(EVENTOS!$D$14,$B44,0),0),IF(B44&lt;=MAX(CÁLCULO!$M$15:$M$119),VLOOKUP($B44,CÁLCULO!$M$15:$N$119,2,FALSE),0))</f>
        <v>0</v>
      </c>
      <c r="E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IF(AUTOEVENTO="Manual",IF(OFFSET(EVENTOS!$F$14,CRONOPLE!$B45,0)&gt;0,"F",""),IF(CRONOPLE!B45&lt;=MAX(CÁLCULO!$M$15:$M$119),"F",""))</f>
        <v/>
      </c>
      <c r="B45" s="287">
        <f t="shared" ca="1" si="1"/>
        <v>31</v>
      </c>
      <c r="C45" s="288">
        <f ca="1">IF(AUTOEVENTO="Manual",IF($B45&lt;&gt;1,OFFSET(EVENTOS!$D$14,$B45,0),0),IF(B45&lt;=MAX(CÁLCULO!$M$15:$M$119),VLOOKUP($B45,CÁLCULO!$M$15:$N$119,2,FALSE),0))</f>
        <v>0</v>
      </c>
      <c r="E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IF(AUTOEVENTO="Manual",IF(OFFSET(EVENTOS!$F$14,CRONOPLE!$B46,0)&gt;0,"F",""),IF(CRONOPLE!B46&lt;=MAX(CÁLCULO!$M$15:$M$119),"F",""))</f>
        <v/>
      </c>
      <c r="B46" s="287">
        <f t="shared" ca="1" si="1"/>
        <v>32</v>
      </c>
      <c r="C46" s="288">
        <f ca="1">IF(AUTOEVENTO="Manual",IF($B46&lt;&gt;1,OFFSET(EVENTOS!$D$14,$B46,0),0),IF(B46&lt;=MAX(CÁLCULO!$M$15:$M$119),VLOOKUP($B46,CÁLCULO!$M$15:$N$119,2,FALSE),0))</f>
        <v>0</v>
      </c>
      <c r="E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IF(AUTOEVENTO="Manual",IF(OFFSET(EVENTOS!$F$14,CRONOPLE!$B47,0)&gt;0,"F",""),IF(CRONOPLE!B47&lt;=MAX(CÁLCULO!$M$15:$M$119),"F",""))</f>
        <v/>
      </c>
      <c r="B47" s="287">
        <f t="shared" ca="1" si="1"/>
        <v>33</v>
      </c>
      <c r="C47" s="288">
        <f ca="1">IF(AUTOEVENTO="Manual",IF($B47&lt;&gt;1,OFFSET(EVENTOS!$D$14,$B47,0),0),IF(B47&lt;=MAX(CÁLCULO!$M$15:$M$119),VLOOKUP($B47,CÁLCULO!$M$15:$N$119,2,FALSE),0))</f>
        <v>0</v>
      </c>
      <c r="E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IF(AUTOEVENTO="Manual",IF(OFFSET(EVENTOS!$F$14,CRONOPLE!$B48,0)&gt;0,"F",""),IF(CRONOPLE!B48&lt;=MAX(CÁLCULO!$M$15:$M$119),"F",""))</f>
        <v/>
      </c>
      <c r="B48" s="287">
        <f t="shared" ca="1" si="1"/>
        <v>34</v>
      </c>
      <c r="C48" s="288">
        <f ca="1">IF(AUTOEVENTO="Manual",IF($B48&lt;&gt;1,OFFSET(EVENTOS!$D$14,$B48,0),0),IF(B48&lt;=MAX(CÁLCULO!$M$15:$M$119),VLOOKUP($B48,CÁLCULO!$M$15:$N$119,2,FALSE),0))</f>
        <v>0</v>
      </c>
      <c r="E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IF(AUTOEVENTO="Manual",IF(OFFSET(EVENTOS!$F$14,CRONOPLE!$B49,0)&gt;0,"F",""),IF(CRONOPLE!B49&lt;=MAX(CÁLCULO!$M$15:$M$119),"F",""))</f>
        <v/>
      </c>
      <c r="B49" s="287">
        <f t="shared" ca="1" si="1"/>
        <v>35</v>
      </c>
      <c r="C49" s="288">
        <f ca="1">IF(AUTOEVENTO="Manual",IF($B49&lt;&gt;1,OFFSET(EVENTOS!$D$14,$B49,0),0),IF(B49&lt;=MAX(CÁLCULO!$M$15:$M$119),VLOOKUP($B49,CÁLCULO!$M$15:$N$119,2,FALSE),0))</f>
        <v>0</v>
      </c>
      <c r="E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IF(AUTOEVENTO="Manual",IF(OFFSET(EVENTOS!$F$14,CRONOPLE!$B50,0)&gt;0,"F",""),IF(CRONOPLE!B50&lt;=MAX(CÁLCULO!$M$15:$M$119),"F",""))</f>
        <v/>
      </c>
      <c r="B50" s="287">
        <f t="shared" ca="1" si="1"/>
        <v>36</v>
      </c>
      <c r="C50" s="288">
        <f ca="1">IF(AUTOEVENTO="Manual",IF($B50&lt;&gt;1,OFFSET(EVENTOS!$D$14,$B50,0),0),IF(B50&lt;=MAX(CÁLCULO!$M$15:$M$119),VLOOKUP($B50,CÁLCULO!$M$15:$N$119,2,FALSE),0))</f>
        <v>0</v>
      </c>
      <c r="E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IF(AUTOEVENTO="Manual",IF(OFFSET(EVENTOS!$F$14,CRONOPLE!$B51,0)&gt;0,"F",""),IF(CRONOPLE!B51&lt;=MAX(CÁLCULO!$M$15:$M$119),"F",""))</f>
        <v/>
      </c>
      <c r="B51" s="287">
        <f t="shared" ca="1" si="1"/>
        <v>37</v>
      </c>
      <c r="C51" s="288">
        <f ca="1">IF(AUTOEVENTO="Manual",IF($B51&lt;&gt;1,OFFSET(EVENTOS!$D$14,$B51,0),0),IF(B51&lt;=MAX(CÁLCULO!$M$15:$M$119),VLOOKUP($B51,CÁLCULO!$M$15:$N$119,2,FALSE),0))</f>
        <v>0</v>
      </c>
      <c r="E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IF(AUTOEVENTO="Manual",IF(OFFSET(EVENTOS!$F$14,CRONOPLE!$B52,0)&gt;0,"F",""),IF(CRONOPLE!B52&lt;=MAX(CÁLCULO!$M$15:$M$119),"F",""))</f>
        <v/>
      </c>
      <c r="B52" s="287">
        <f t="shared" ca="1" si="1"/>
        <v>38</v>
      </c>
      <c r="C52" s="288">
        <f ca="1">IF(AUTOEVENTO="Manual",IF($B52&lt;&gt;1,OFFSET(EVENTOS!$D$14,$B52,0),0),IF(B52&lt;=MAX(CÁLCULO!$M$15:$M$119),VLOOKUP($B52,CÁLCULO!$M$15:$N$119,2,FALSE),0))</f>
        <v>0</v>
      </c>
      <c r="E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IF(AUTOEVENTO="Manual",IF(OFFSET(EVENTOS!$F$14,CRONOPLE!$B53,0)&gt;0,"F",""),IF(CRONOPLE!B53&lt;=MAX(CÁLCULO!$M$15:$M$119),"F",""))</f>
        <v/>
      </c>
      <c r="B53" s="287">
        <f t="shared" ca="1" si="1"/>
        <v>39</v>
      </c>
      <c r="C53" s="288">
        <f ca="1">IF(AUTOEVENTO="Manual",IF($B53&lt;&gt;1,OFFSET(EVENTOS!$D$14,$B53,0),0),IF(B53&lt;=MAX(CÁLCULO!$M$15:$M$119),VLOOKUP($B53,CÁLCULO!$M$15:$N$119,2,FALSE),0))</f>
        <v>0</v>
      </c>
      <c r="E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IF(AUTOEVENTO="Manual",IF(OFFSET(EVENTOS!$F$14,CRONOPLE!$B54,0)&gt;0,"F",""),IF(CRONOPLE!B54&lt;=MAX(CÁLCULO!$M$15:$M$119),"F",""))</f>
        <v/>
      </c>
      <c r="B54" s="287">
        <f t="shared" ca="1" si="1"/>
        <v>40</v>
      </c>
      <c r="C54" s="288">
        <f ca="1">IF(AUTOEVENTO="Manual",IF($B54&lt;&gt;1,OFFSET(EVENTOS!$D$14,$B54,0),0),IF(B54&lt;=MAX(CÁLCULO!$M$15:$M$119),VLOOKUP($B54,CÁLCULO!$M$15:$N$119,2,FALSE),0))</f>
        <v>0</v>
      </c>
      <c r="E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IF(AUTOEVENTO="Manual",IF(OFFSET(EVENTOS!$F$14,CRONOPLE!$B55,0)&gt;0,"F",""),IF(CRONOPLE!B55&lt;=MAX(CÁLCULO!$M$15:$M$119),"F",""))</f>
        <v/>
      </c>
      <c r="B55" s="287">
        <f t="shared" ca="1" si="1"/>
        <v>41</v>
      </c>
      <c r="C55" s="288">
        <f ca="1">IF(AUTOEVENTO="Manual",IF($B55&lt;&gt;1,OFFSET(EVENTOS!$D$14,$B55,0),0),IF(B55&lt;=MAX(CÁLCULO!$M$15:$M$119),VLOOKUP($B55,CÁLCULO!$M$15:$N$119,2,FALSE),0))</f>
        <v>0</v>
      </c>
      <c r="E55" s="289"/>
      <c r="G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IF(AUTOEVENTO="Manual",IF(OFFSET(EVENTOS!$F$14,CRONOPLE!$B56,0)&gt;0,"F",""),IF(CRONOPLE!B56&lt;=MAX(CÁLCULO!$M$15:$M$119),"F",""))</f>
        <v/>
      </c>
      <c r="B56" s="287">
        <f t="shared" ca="1" si="1"/>
        <v>42</v>
      </c>
      <c r="C56" s="288">
        <f ca="1">IF(AUTOEVENTO="Manual",IF($B56&lt;&gt;1,OFFSET(EVENTOS!$D$14,$B56,0),0),IF(B56&lt;=MAX(CÁLCULO!$M$15:$M$119),VLOOKUP($B56,CÁLCULO!$M$15:$N$119,2,FALSE),0))</f>
        <v>0</v>
      </c>
      <c r="E56" s="289"/>
      <c r="G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IF(AUTOEVENTO="Manual",IF(OFFSET(EVENTOS!$F$14,CRONOPLE!$B57,0)&gt;0,"F",""),IF(CRONOPLE!B57&lt;=MAX(CÁLCULO!$M$15:$M$119),"F",""))</f>
        <v/>
      </c>
      <c r="B57" s="287">
        <f t="shared" ca="1" si="1"/>
        <v>43</v>
      </c>
      <c r="C57" s="288">
        <f ca="1">IF(AUTOEVENTO="Manual",IF($B57&lt;&gt;1,OFFSET(EVENTOS!$D$14,$B57,0),0),IF(B57&lt;=MAX(CÁLCULO!$M$15:$M$119),VLOOKUP($B57,CÁLCULO!$M$15:$N$119,2,FALSE),0))</f>
        <v>0</v>
      </c>
      <c r="E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IF(AUTOEVENTO="Manual",IF(OFFSET(EVENTOS!$F$14,CRONOPLE!$B58,0)&gt;0,"F",""),IF(CRONOPLE!B58&lt;=MAX(CÁLCULO!$M$15:$M$119),"F",""))</f>
        <v/>
      </c>
      <c r="B58" s="287">
        <f t="shared" ca="1" si="1"/>
        <v>44</v>
      </c>
      <c r="C58" s="288">
        <f ca="1">IF(AUTOEVENTO="Manual",IF($B58&lt;&gt;1,OFFSET(EVENTOS!$D$14,$B58,0),0),IF(B58&lt;=MAX(CÁLCULO!$M$15:$M$119),VLOOKUP($B58,CÁLCULO!$M$15:$N$119,2,FALSE),0))</f>
        <v>0</v>
      </c>
      <c r="E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IF(AUTOEVENTO="Manual",IF(OFFSET(EVENTOS!$F$14,CRONOPLE!$B59,0)&gt;0,"F",""),IF(CRONOPLE!B59&lt;=MAX(CÁLCULO!$M$15:$M$119),"F",""))</f>
        <v/>
      </c>
      <c r="B59" s="287">
        <f t="shared" ca="1" si="1"/>
        <v>45</v>
      </c>
      <c r="C59" s="288">
        <f ca="1">IF(AUTOEVENTO="Manual",IF($B59&lt;&gt;1,OFFSET(EVENTOS!$D$14,$B59,0),0),IF(B59&lt;=MAX(CÁLCULO!$M$15:$M$119),VLOOKUP($B59,CÁLCULO!$M$15:$N$119,2,FALSE),0))</f>
        <v>0</v>
      </c>
      <c r="E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IF(AUTOEVENTO="Manual",IF(OFFSET(EVENTOS!$F$14,CRONOPLE!$B60,0)&gt;0,"F",""),IF(CRONOPLE!B60&lt;=MAX(CÁLCULO!$M$15:$M$119),"F",""))</f>
        <v/>
      </c>
      <c r="B60" s="287">
        <f t="shared" ca="1" si="1"/>
        <v>46</v>
      </c>
      <c r="C60" s="288">
        <f ca="1">IF(AUTOEVENTO="Manual",IF($B60&lt;&gt;1,OFFSET(EVENTOS!$D$14,$B60,0),0),IF(B60&lt;=MAX(CÁLCULO!$M$15:$M$119),VLOOKUP($B60,CÁLCULO!$M$15:$N$119,2,FALSE),0))</f>
        <v>0</v>
      </c>
      <c r="E60" s="289"/>
      <c r="G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IF(AUTOEVENTO="Manual",IF(OFFSET(EVENTOS!$F$14,CRONOPLE!$B61,0)&gt;0,"F",""),IF(CRONOPLE!B61&lt;=MAX(CÁLCULO!$M$15:$M$119),"F",""))</f>
        <v/>
      </c>
      <c r="B61" s="287">
        <f t="shared" ca="1" si="1"/>
        <v>47</v>
      </c>
      <c r="C61" s="288">
        <f ca="1">IF(AUTOEVENTO="Manual",IF($B61&lt;&gt;1,OFFSET(EVENTOS!$D$14,$B61,0),0),IF(B61&lt;=MAX(CÁLCULO!$M$15:$M$119),VLOOKUP($B61,CÁLCULO!$M$15:$N$119,2,FALSE),0))</f>
        <v>0</v>
      </c>
      <c r="E61" s="289"/>
      <c r="G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IF(AUTOEVENTO="Manual",IF(OFFSET(EVENTOS!$F$14,CRONOPLE!$B62,0)&gt;0,"F",""),IF(CRONOPLE!B62&lt;=MAX(CÁLCULO!$M$15:$M$119),"F",""))</f>
        <v/>
      </c>
      <c r="B62" s="287">
        <f t="shared" ca="1" si="1"/>
        <v>48</v>
      </c>
      <c r="C62" s="288">
        <f ca="1">IF(AUTOEVENTO="Manual",IF($B62&lt;&gt;1,OFFSET(EVENTOS!$D$14,$B62,0),0),IF(B62&lt;=MAX(CÁLCULO!$M$15:$M$119),VLOOKUP($B62,CÁLCULO!$M$15:$N$119,2,FALSE),0))</f>
        <v>0</v>
      </c>
      <c r="E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IF(AUTOEVENTO="Manual",IF(OFFSET(EVENTOS!$F$14,CRONOPLE!$B63,0)&gt;0,"F",""),IF(CRONOPLE!B63&lt;=MAX(CÁLCULO!$M$15:$M$119),"F",""))</f>
        <v/>
      </c>
      <c r="B63" s="287">
        <f t="shared" ca="1" si="1"/>
        <v>49</v>
      </c>
      <c r="C63" s="288">
        <f ca="1">IF(AUTOEVENTO="Manual",IF($B63&lt;&gt;1,OFFSET(EVENTOS!$D$14,$B63,0),0),IF(B63&lt;=MAX(CÁLCULO!$M$15:$M$119),VLOOKUP($B63,CÁLCULO!$M$15:$N$119,2,FALSE),0))</f>
        <v>0</v>
      </c>
      <c r="E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IF(AUTOEVENTO="Manual",IF(OFFSET(EVENTOS!$F$14,CRONOPLE!$B64,0)&gt;0,"F",""),IF(CRONOPLE!B64&lt;=MAX(CÁLCULO!$M$15:$M$119),"F",""))</f>
        <v/>
      </c>
      <c r="B64" s="287">
        <f t="shared" ca="1" si="1"/>
        <v>50</v>
      </c>
      <c r="C64" s="288">
        <f ca="1">IF(AUTOEVENTO="Manual",IF($B64&lt;&gt;1,OFFSET(EVENTOS!$D$14,$B64,0),0),IF(B64&lt;=MAX(CÁLCULO!$M$15:$M$119),VLOOKUP($B64,CÁLCULO!$M$15:$N$119,2,FALSE),0))</f>
        <v>0</v>
      </c>
      <c r="E64" s="289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2:31" ht="5.0999999999999996" customHeight="1" x14ac:dyDescent="0.2">
      <c r="B65" s="510"/>
      <c r="C65" s="511"/>
      <c r="E65" s="303"/>
      <c r="F65" s="303"/>
      <c r="G65" s="510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1"/>
    </row>
  </sheetData>
  <mergeCells count="2">
    <mergeCell ref="B12:B13"/>
    <mergeCell ref="C12:C13"/>
  </mergeCells>
  <phoneticPr fontId="38" type="noConversion"/>
  <conditionalFormatting sqref="E1 G1:AE1">
    <cfRule type="expression" dxfId="216" priority="109" stopIfTrue="1">
      <formula>IF(OR(E$12&gt;CÁLCULO.NúmeroDeFrentes,ACOMPANHAMENTO="BM"),TRUE,CRONOPLE.ValorDoEvento=0)</formula>
    </cfRule>
  </conditionalFormatting>
  <conditionalFormatting sqref="E16:E24 G16:AE24">
    <cfRule type="expression" dxfId="215" priority="6" stopIfTrue="1">
      <formula>IF(OR(E$12&gt;CÁLCULO.NúmeroDeFrentes,ACOMPANHAMENTO="BM"),TRUE,CRONOPLE.ValorDoEvento=0)</formula>
    </cfRule>
  </conditionalFormatting>
  <conditionalFormatting sqref="E25:E33 G25:AE33">
    <cfRule type="expression" dxfId="214" priority="5" stopIfTrue="1">
      <formula>IF(OR(E$12&gt;CÁLCULO.NúmeroDeFrentes,ACOMPANHAMENTO="BM"),TRUE,CRONOPLE.ValorDoEvento=0)</formula>
    </cfRule>
  </conditionalFormatting>
  <conditionalFormatting sqref="E34:E42 G34:AE42">
    <cfRule type="expression" dxfId="213" priority="4" stopIfTrue="1">
      <formula>IF(OR(E$12&gt;CÁLCULO.NúmeroDeFrentes,ACOMPANHAMENTO="BM"),TRUE,CRONOPLE.ValorDoEvento=0)</formula>
    </cfRule>
  </conditionalFormatting>
  <conditionalFormatting sqref="E43:E51 G43:AE51">
    <cfRule type="expression" dxfId="212" priority="3" stopIfTrue="1">
      <formula>IF(OR(E$12&gt;CÁLCULO.NúmeroDeFrentes,ACOMPANHAMENTO="BM"),TRUE,CRONOPLE.ValorDoEvento=0)</formula>
    </cfRule>
  </conditionalFormatting>
  <conditionalFormatting sqref="E52:E60 G52:AE60">
    <cfRule type="expression" dxfId="211" priority="2" stopIfTrue="1">
      <formula>IF(OR(E$12&gt;CÁLCULO.NúmeroDeFrentes,ACOMPANHAMENTO="BM"),TRUE,CRONOPLE.ValorDoEvento=0)</formula>
    </cfRule>
  </conditionalFormatting>
  <conditionalFormatting sqref="E61:E64 G61:AE64">
    <cfRule type="expression" dxfId="210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IF(AUTOEVENTO="Manual",IF(OFFSET(EVENTOS!$F$14,PLE!$B1,0)&gt;0,"F",""),IF(PLE!B1&lt;=MAX(CÁLCULO!$M$15:$M$119),"F",""))</f>
        <v>#REF!</v>
      </c>
      <c r="B1" s="287" t="e">
        <f ca="1">OFFSET(B1,-1,0)+1</f>
        <v>#REF!</v>
      </c>
      <c r="C1" s="647" t="e">
        <f ca="1">IF(AUTOEVENTO="Manual",IF($B1&lt;&gt;1,OFFSET(EVENTOS!$D$14,$B1,0),0),IF(B1&lt;=MAX(CÁLCULO!$M$15:$M$119),VLOOKUP($B1,CÁLCULO!$M$15:$N$119,2,FALSE),0))</f>
        <v>#REF!</v>
      </c>
      <c r="D1" s="647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583" t="s">
        <v>140</v>
      </c>
      <c r="AE3" s="583"/>
      <c r="AF3" s="583"/>
    </row>
    <row r="4" spans="1:33" ht="15.75" x14ac:dyDescent="0.2">
      <c r="B4" s="83"/>
      <c r="C4" s="83"/>
      <c r="H4" s="84" t="str">
        <f>import.recurso</f>
        <v>(SELECIONAR)</v>
      </c>
      <c r="AD4" s="584" t="s">
        <v>143</v>
      </c>
      <c r="AE4" s="584"/>
      <c r="AF4" s="584"/>
    </row>
    <row r="6" spans="1:33" x14ac:dyDescent="0.2">
      <c r="B6" s="231" t="s">
        <v>146</v>
      </c>
      <c r="C6" s="304"/>
      <c r="D6" s="233" t="s">
        <v>443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48" t="str">
        <f>IF(TIPOORCAMENTO="Licitado","Nº CTEF","")</f>
        <v/>
      </c>
      <c r="AF6" s="648"/>
    </row>
    <row r="7" spans="1:33" x14ac:dyDescent="0.2">
      <c r="B7" s="634">
        <f>Import.CR</f>
        <v>0</v>
      </c>
      <c r="C7" s="634"/>
      <c r="D7" s="237">
        <f>Import.TransfereGOV</f>
        <v>0</v>
      </c>
      <c r="E7" s="43"/>
      <c r="H7" s="644" t="str">
        <f>Import.Proponente</f>
        <v>PREFEITURA MUNICIPAL</v>
      </c>
      <c r="I7" s="644"/>
      <c r="J7" s="644"/>
      <c r="K7" s="644"/>
      <c r="L7" s="644"/>
      <c r="M7" s="644"/>
      <c r="N7" s="644"/>
      <c r="O7" s="634" t="str">
        <f>Import.Apelido</f>
        <v>PAVIMENTAÇÃO ASFÁLTICA</v>
      </c>
      <c r="P7" s="634"/>
      <c r="Q7" s="634"/>
      <c r="R7" s="634"/>
      <c r="S7" s="634"/>
      <c r="T7" s="634"/>
      <c r="U7" s="634"/>
      <c r="V7" s="634" t="str">
        <f>IF(TIPOORCAMENTO="Licitado",Import.empresa,Import.DescLote)</f>
        <v>DIVERSOS TRECHOS DA ÁREA URBANA</v>
      </c>
      <c r="W7" s="634"/>
      <c r="X7" s="634"/>
      <c r="Y7" s="634"/>
      <c r="Z7" s="634"/>
      <c r="AA7" s="634"/>
      <c r="AB7" s="634"/>
      <c r="AC7" s="634"/>
      <c r="AD7" s="634"/>
      <c r="AE7" s="652" t="str">
        <f>IF(TIPOORCAMENTO="Licitado",Import.CTEF,"")</f>
        <v/>
      </c>
      <c r="AF7" s="652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50">
        <v>1</v>
      </c>
      <c r="K9" s="650"/>
      <c r="M9" s="308" t="s">
        <v>283</v>
      </c>
      <c r="N9" s="651" t="str">
        <f ca="1">TEXT(IF(PLE.Medicao=1,Import.DataInicioObra,OFFSET($H$68,0,1+(PLE.Medicao-$I$69)*2-2)+1),"dd/mm/aaaa")&amp;" a "&amp;TEXT(OFFSET($H$68,0,1+(PLE.Medicao-$I$69)*2),"dd/mm/aaaa")</f>
        <v>01/03/2025 a 00/01/1900</v>
      </c>
      <c r="O9" s="651"/>
      <c r="P9" s="651"/>
      <c r="Q9" s="651"/>
      <c r="R9" s="651"/>
      <c r="S9" s="651"/>
      <c r="T9" s="651"/>
      <c r="U9" s="309"/>
      <c r="X9" s="308" t="s">
        <v>295</v>
      </c>
      <c r="Y9" s="653">
        <f ca="1">OFFSET($I$69,1+8*(ROUNDUP(($J$9-0)/((COLUMN($AG$14)-COLUMN($G$14)-1)/25*12),0)-1),ROUNDDOWN((($J$9-0)-OFFSET($I$69,8*(ROUNDUP(($J$9-0)/((COLUMN($AG$14)-COLUMN($G$14)-1)/25*12),0)-1),0))*(2+1/12),0))</f>
        <v>0</v>
      </c>
      <c r="Z9" s="653"/>
      <c r="AD9" s="308" t="s">
        <v>296</v>
      </c>
      <c r="AE9" s="653">
        <f ca="1">OFFSET($I$69,3+8*(ROUNDUP(($J$9-0)/((COLUMN($AG$14)-COLUMN($G$14)-1)/25*12),0)-1),ROUNDDOWN((($J$9-0)-OFFSET($I$69,8*(ROUNDUP(($J$9-0)/((COLUMN($AG$14)-COLUMN($G$14)-1)/25*12),0)-1),0))*(2+1/12),0))</f>
        <v>0</v>
      </c>
      <c r="AF9" s="653"/>
    </row>
    <row r="11" spans="1:33" ht="65.25" customHeight="1" x14ac:dyDescent="0.2">
      <c r="A11" s="291" t="s">
        <v>290</v>
      </c>
      <c r="C11" s="649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49"/>
      <c r="F11" s="293">
        <f ca="1">IF(F$12&gt;CÁLCULO.NúmeroDeFrentes,"",OFFSET(CÁLCULO!$P$12,0,F$12))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6" t="s">
        <v>266</v>
      </c>
      <c r="C12" s="646" t="s">
        <v>291</v>
      </c>
      <c r="D12" s="646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6"/>
      <c r="C13" s="646"/>
      <c r="D13" s="646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56" t="s">
        <v>269</v>
      </c>
      <c r="D15" s="656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IF(AUTOEVENTO="Manual",IF(OFFSET(EVENTOS!$F$14,PLE!$B16,0)&gt;0,"F",""),IF(PLE!B16&lt;=MAX(CÁLCULO!$M$15:$M$119),"F",""))</f>
        <v>F</v>
      </c>
      <c r="B16" s="287">
        <f t="shared" ref="B16:B64" ca="1" si="1">OFFSET(B16,-1,0)+1</f>
        <v>2</v>
      </c>
      <c r="C16" s="647" t="str">
        <f ca="1">IF(AUTOEVENTO="Manual",IF($B16&lt;&gt;1,OFFSET(EVENTOS!$D$14,$B16,0),0),IF(B16&lt;=MAX(CÁLCULO!$M$15:$M$119),VLOOKUP($B16,CÁLCULO!$M$15:$N$119,2,FALSE),0))</f>
        <v xml:space="preserve">SERVIÇOS INICIAIS </v>
      </c>
      <c r="D16" s="647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IF(AUTOEVENTO="Manual",IF(OFFSET(EVENTOS!$F$14,PLE!$B17,0)&gt;0,"F",""),IF(PLE!B17&lt;=MAX(CÁLCULO!$M$15:$M$119),"F",""))</f>
        <v>F</v>
      </c>
      <c r="B17" s="287">
        <f t="shared" ca="1" si="1"/>
        <v>3</v>
      </c>
      <c r="C17" s="647" t="str">
        <f ca="1">IF(AUTOEVENTO="Manual",IF($B17&lt;&gt;1,OFFSET(EVENTOS!$D$14,$B17,0),0),IF(B17&lt;=MAX(CÁLCULO!$M$15:$M$119),VLOOKUP($B17,CÁLCULO!$M$15:$N$119,2,FALSE),0))</f>
        <v>ADMINISTRAÇÃO LOCAL</v>
      </c>
      <c r="D17" s="647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IF(AUTOEVENTO="Manual",IF(OFFSET(EVENTOS!$F$14,PLE!$B18,0)&gt;0,"F",""),IF(PLE!B18&lt;=MAX(CÁLCULO!$M$15:$M$119),"F",""))</f>
        <v>F</v>
      </c>
      <c r="B18" s="287">
        <f t="shared" ca="1" si="1"/>
        <v>4</v>
      </c>
      <c r="C18" s="647" t="str">
        <f ca="1">IF(AUTOEVENTO="Manual",IF($B18&lt;&gt;1,OFFSET(EVENTOS!$D$14,$B18,0),0),IF(B18&lt;=MAX(CÁLCULO!$M$15:$M$119),VLOOKUP($B18,CÁLCULO!$M$15:$N$119,2,FALSE),0))</f>
        <v>DRENAGEM</v>
      </c>
      <c r="D18" s="647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IF(AUTOEVENTO="Manual",IF(OFFSET(EVENTOS!$F$14,PLE!$B19,0)&gt;0,"F",""),IF(PLE!B19&lt;=MAX(CÁLCULO!$M$15:$M$119),"F",""))</f>
        <v>F</v>
      </c>
      <c r="B19" s="287">
        <f t="shared" ca="1" si="1"/>
        <v>5</v>
      </c>
      <c r="C19" s="647" t="str">
        <f ca="1">IF(AUTOEVENTO="Manual",IF($B19&lt;&gt;1,OFFSET(EVENTOS!$D$14,$B19,0),0),IF(B19&lt;=MAX(CÁLCULO!$M$15:$M$119),VLOOKUP($B19,CÁLCULO!$M$15:$N$119,2,FALSE),0))</f>
        <v>PAVIMENTAÇÃO</v>
      </c>
      <c r="D19" s="647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IF(AUTOEVENTO="Manual",IF(OFFSET(EVENTOS!$F$14,PLE!$B20,0)&gt;0,"F",""),IF(PLE!B20&lt;=MAX(CÁLCULO!$M$15:$M$119),"F",""))</f>
        <v>F</v>
      </c>
      <c r="B20" s="287">
        <f t="shared" ca="1" si="1"/>
        <v>6</v>
      </c>
      <c r="C20" s="647" t="str">
        <f ca="1">IF(AUTOEVENTO="Manual",IF($B20&lt;&gt;1,OFFSET(EVENTOS!$D$14,$B20,0),0),IF(B20&lt;=MAX(CÁLCULO!$M$15:$M$119),VLOOKUP($B20,CÁLCULO!$M$15:$N$119,2,FALSE),0))</f>
        <v>SINALIZAÇÃO</v>
      </c>
      <c r="D20" s="647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IF(AUTOEVENTO="Manual",IF(OFFSET(EVENTOS!$F$14,PLE!$B21,0)&gt;0,"F",""),IF(PLE!B21&lt;=MAX(CÁLCULO!$M$15:$M$119),"F",""))</f>
        <v>F</v>
      </c>
      <c r="B21" s="287">
        <f t="shared" ca="1" si="1"/>
        <v>7</v>
      </c>
      <c r="C21" s="647" t="str">
        <f ca="1">IF(AUTOEVENTO="Manual",IF($B21&lt;&gt;1,OFFSET(EVENTOS!$D$14,$B21,0),0),IF(B21&lt;=MAX(CÁLCULO!$M$15:$M$119),VLOOKUP($B21,CÁLCULO!$M$15:$N$119,2,FALSE),0))</f>
        <v xml:space="preserve">SERVIÇOS INICIAIS </v>
      </c>
      <c r="D21" s="647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IF(AUTOEVENTO="Manual",IF(OFFSET(EVENTOS!$F$14,PLE!$B22,0)&gt;0,"F",""),IF(PLE!B22&lt;=MAX(CÁLCULO!$M$15:$M$119),"F",""))</f>
        <v>F</v>
      </c>
      <c r="B22" s="287">
        <f t="shared" ca="1" si="1"/>
        <v>8</v>
      </c>
      <c r="C22" s="647" t="str">
        <f ca="1">IF(AUTOEVENTO="Manual",IF($B22&lt;&gt;1,OFFSET(EVENTOS!$D$14,$B22,0),0),IF(B22&lt;=MAX(CÁLCULO!$M$15:$M$119),VLOOKUP($B22,CÁLCULO!$M$15:$N$119,2,FALSE),0))</f>
        <v>ADMINISTRAÇÃO LOCAL</v>
      </c>
      <c r="D22" s="647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IF(AUTOEVENTO="Manual",IF(OFFSET(EVENTOS!$F$14,PLE!$B23,0)&gt;0,"F",""),IF(PLE!B23&lt;=MAX(CÁLCULO!$M$15:$M$119),"F",""))</f>
        <v>F</v>
      </c>
      <c r="B23" s="287">
        <f t="shared" ca="1" si="1"/>
        <v>9</v>
      </c>
      <c r="C23" s="647" t="str">
        <f ca="1">IF(AUTOEVENTO="Manual",IF($B23&lt;&gt;1,OFFSET(EVENTOS!$D$14,$B23,0),0),IF(B23&lt;=MAX(CÁLCULO!$M$15:$M$119),VLOOKUP($B23,CÁLCULO!$M$15:$N$119,2,FALSE),0))</f>
        <v>DRENAGEM PLUVIAL</v>
      </c>
      <c r="D23" s="647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IF(AUTOEVENTO="Manual",IF(OFFSET(EVENTOS!$F$14,PLE!$B24,0)&gt;0,"F",""),IF(PLE!B24&lt;=MAX(CÁLCULO!$M$15:$M$119),"F",""))</f>
        <v>F</v>
      </c>
      <c r="B24" s="287">
        <f t="shared" ca="1" si="1"/>
        <v>10</v>
      </c>
      <c r="C24" s="647" t="str">
        <f ca="1">IF(AUTOEVENTO="Manual",IF($B24&lt;&gt;1,OFFSET(EVENTOS!$D$14,$B24,0),0),IF(B24&lt;=MAX(CÁLCULO!$M$15:$M$119),VLOOKUP($B24,CÁLCULO!$M$15:$N$119,2,FALSE),0))</f>
        <v>PAVIMENTAÇÃO</v>
      </c>
      <c r="D24" s="647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IF(AUTOEVENTO="Manual",IF(OFFSET(EVENTOS!$F$14,PLE!$B25,0)&gt;0,"F",""),IF(PLE!B25&lt;=MAX(CÁLCULO!$M$15:$M$119),"F",""))</f>
        <v>F</v>
      </c>
      <c r="B25" s="287">
        <f t="shared" ca="1" si="1"/>
        <v>11</v>
      </c>
      <c r="C25" s="647" t="str">
        <f ca="1">IF(AUTOEVENTO="Manual",IF($B25&lt;&gt;1,OFFSET(EVENTOS!$D$14,$B25,0),0),IF(B25&lt;=MAX(CÁLCULO!$M$15:$M$119),VLOOKUP($B25,CÁLCULO!$M$15:$N$119,2,FALSE),0))</f>
        <v>SINALIZAÇÃO</v>
      </c>
      <c r="D25" s="647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IF(AUTOEVENTO="Manual",IF(OFFSET(EVENTOS!$F$14,PLE!$B26,0)&gt;0,"F",""),IF(PLE!B26&lt;=MAX(CÁLCULO!$M$15:$M$119),"F",""))</f>
        <v>F</v>
      </c>
      <c r="B26" s="287">
        <f t="shared" ca="1" si="1"/>
        <v>12</v>
      </c>
      <c r="C26" s="647" t="str">
        <f ca="1">IF(AUTOEVENTO="Manual",IF($B26&lt;&gt;1,OFFSET(EVENTOS!$D$14,$B26,0),0),IF(B26&lt;=MAX(CÁLCULO!$M$15:$M$119),VLOOKUP($B26,CÁLCULO!$M$15:$N$119,2,FALSE),0))</f>
        <v xml:space="preserve">SERVIÇOS INICIAIS </v>
      </c>
      <c r="D26" s="647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IF(AUTOEVENTO="Manual",IF(OFFSET(EVENTOS!$F$14,PLE!$B27,0)&gt;0,"F",""),IF(PLE!B27&lt;=MAX(CÁLCULO!$M$15:$M$119),"F",""))</f>
        <v>F</v>
      </c>
      <c r="B27" s="287">
        <f t="shared" ca="1" si="1"/>
        <v>13</v>
      </c>
      <c r="C27" s="647" t="str">
        <f ca="1">IF(AUTOEVENTO="Manual",IF($B27&lt;&gt;1,OFFSET(EVENTOS!$D$14,$B27,0),0),IF(B27&lt;=MAX(CÁLCULO!$M$15:$M$119),VLOOKUP($B27,CÁLCULO!$M$15:$N$119,2,FALSE),0))</f>
        <v>ADMINISTRAÇÃO LOCAL</v>
      </c>
      <c r="D27" s="647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IF(AUTOEVENTO="Manual",IF(OFFSET(EVENTOS!$F$14,PLE!$B28,0)&gt;0,"F",""),IF(PLE!B28&lt;=MAX(CÁLCULO!$M$15:$M$119),"F",""))</f>
        <v>F</v>
      </c>
      <c r="B28" s="287">
        <f t="shared" ca="1" si="1"/>
        <v>14</v>
      </c>
      <c r="C28" s="647" t="str">
        <f ca="1">IF(AUTOEVENTO="Manual",IF($B28&lt;&gt;1,OFFSET(EVENTOS!$D$14,$B28,0),0),IF(B28&lt;=MAX(CÁLCULO!$M$15:$M$119),VLOOKUP($B28,CÁLCULO!$M$15:$N$119,2,FALSE),0))</f>
        <v>DRENAGEM PLUVIAL</v>
      </c>
      <c r="D28" s="647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IF(AUTOEVENTO="Manual",IF(OFFSET(EVENTOS!$F$14,PLE!$B29,0)&gt;0,"F",""),IF(PLE!B29&lt;=MAX(CÁLCULO!$M$15:$M$119),"F",""))</f>
        <v>F</v>
      </c>
      <c r="B29" s="287">
        <f t="shared" ca="1" si="1"/>
        <v>15</v>
      </c>
      <c r="C29" s="647" t="str">
        <f ca="1">IF(AUTOEVENTO="Manual",IF($B29&lt;&gt;1,OFFSET(EVENTOS!$D$14,$B29,0),0),IF(B29&lt;=MAX(CÁLCULO!$M$15:$M$119),VLOOKUP($B29,CÁLCULO!$M$15:$N$119,2,FALSE),0))</f>
        <v>PAVIMENTAÇÃO</v>
      </c>
      <c r="D29" s="647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IF(AUTOEVENTO="Manual",IF(OFFSET(EVENTOS!$F$14,PLE!$B30,0)&gt;0,"F",""),IF(PLE!B30&lt;=MAX(CÁLCULO!$M$15:$M$119),"F",""))</f>
        <v>F</v>
      </c>
      <c r="B30" s="287">
        <f t="shared" ca="1" si="1"/>
        <v>16</v>
      </c>
      <c r="C30" s="647" t="str">
        <f ca="1">IF(AUTOEVENTO="Manual",IF($B30&lt;&gt;1,OFFSET(EVENTOS!$D$14,$B30,0),0),IF(B30&lt;=MAX(CÁLCULO!$M$15:$M$119),VLOOKUP($B30,CÁLCULO!$M$15:$N$119,2,FALSE),0))</f>
        <v>SINALIZAÇÃO</v>
      </c>
      <c r="D30" s="647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IF(AUTOEVENTO="Manual",IF(OFFSET(EVENTOS!$F$14,PLE!$B31,0)&gt;0,"F",""),IF(PLE!B31&lt;=MAX(CÁLCULO!$M$15:$M$119),"F",""))</f>
        <v/>
      </c>
      <c r="B31" s="287">
        <f t="shared" ca="1" si="1"/>
        <v>17</v>
      </c>
      <c r="C31" s="647">
        <f ca="1">IF(AUTOEVENTO="Manual",IF($B31&lt;&gt;1,OFFSET(EVENTOS!$D$14,$B31,0),0),IF(B31&lt;=MAX(CÁLCULO!$M$15:$M$119),VLOOKUP($B31,CÁLCULO!$M$15:$N$119,2,FALSE),0))</f>
        <v>0</v>
      </c>
      <c r="D31" s="647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IF(AUTOEVENTO="Manual",IF(OFFSET(EVENTOS!$F$14,PLE!$B32,0)&gt;0,"F",""),IF(PLE!B32&lt;=MAX(CÁLCULO!$M$15:$M$119),"F",""))</f>
        <v/>
      </c>
      <c r="B32" s="287">
        <f t="shared" ca="1" si="1"/>
        <v>18</v>
      </c>
      <c r="C32" s="647">
        <f ca="1">IF(AUTOEVENTO="Manual",IF($B32&lt;&gt;1,OFFSET(EVENTOS!$D$14,$B32,0),0),IF(B32&lt;=MAX(CÁLCULO!$M$15:$M$119),VLOOKUP($B32,CÁLCULO!$M$15:$N$119,2,FALSE),0))</f>
        <v>0</v>
      </c>
      <c r="D32" s="647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IF(AUTOEVENTO="Manual",IF(OFFSET(EVENTOS!$F$14,PLE!$B33,0)&gt;0,"F",""),IF(PLE!B33&lt;=MAX(CÁLCULO!$M$15:$M$119),"F",""))</f>
        <v/>
      </c>
      <c r="B33" s="287">
        <f t="shared" ca="1" si="1"/>
        <v>19</v>
      </c>
      <c r="C33" s="647">
        <f ca="1">IF(AUTOEVENTO="Manual",IF($B33&lt;&gt;1,OFFSET(EVENTOS!$D$14,$B33,0),0),IF(B33&lt;=MAX(CÁLCULO!$M$15:$M$119),VLOOKUP($B33,CÁLCULO!$M$15:$N$119,2,FALSE),0))</f>
        <v>0</v>
      </c>
      <c r="D33" s="647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IF(AUTOEVENTO="Manual",IF(OFFSET(EVENTOS!$F$14,PLE!$B34,0)&gt;0,"F",""),IF(PLE!B34&lt;=MAX(CÁLCULO!$M$15:$M$119),"F",""))</f>
        <v/>
      </c>
      <c r="B34" s="287">
        <f t="shared" ca="1" si="1"/>
        <v>20</v>
      </c>
      <c r="C34" s="647">
        <f ca="1">IF(AUTOEVENTO="Manual",IF($B34&lt;&gt;1,OFFSET(EVENTOS!$D$14,$B34,0),0),IF(B34&lt;=MAX(CÁLCULO!$M$15:$M$119),VLOOKUP($B34,CÁLCULO!$M$15:$N$119,2,FALSE),0))</f>
        <v>0</v>
      </c>
      <c r="D34" s="647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IF(AUTOEVENTO="Manual",IF(OFFSET(EVENTOS!$F$14,PLE!$B35,0)&gt;0,"F",""),IF(PLE!B35&lt;=MAX(CÁLCULO!$M$15:$M$119),"F",""))</f>
        <v/>
      </c>
      <c r="B35" s="287">
        <f t="shared" ca="1" si="1"/>
        <v>21</v>
      </c>
      <c r="C35" s="647">
        <f ca="1">IF(AUTOEVENTO="Manual",IF($B35&lt;&gt;1,OFFSET(EVENTOS!$D$14,$B35,0),0),IF(B35&lt;=MAX(CÁLCULO!$M$15:$M$119),VLOOKUP($B35,CÁLCULO!$M$15:$N$119,2,FALSE),0))</f>
        <v>0</v>
      </c>
      <c r="D35" s="647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IF(AUTOEVENTO="Manual",IF(OFFSET(EVENTOS!$F$14,PLE!$B36,0)&gt;0,"F",""),IF(PLE!B36&lt;=MAX(CÁLCULO!$M$15:$M$119),"F",""))</f>
        <v/>
      </c>
      <c r="B36" s="287">
        <f t="shared" ca="1" si="1"/>
        <v>22</v>
      </c>
      <c r="C36" s="647">
        <f ca="1">IF(AUTOEVENTO="Manual",IF($B36&lt;&gt;1,OFFSET(EVENTOS!$D$14,$B36,0),0),IF(B36&lt;=MAX(CÁLCULO!$M$15:$M$119),VLOOKUP($B36,CÁLCULO!$M$15:$N$119,2,FALSE),0))</f>
        <v>0</v>
      </c>
      <c r="D36" s="647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IF(AUTOEVENTO="Manual",IF(OFFSET(EVENTOS!$F$14,PLE!$B37,0)&gt;0,"F",""),IF(PLE!B37&lt;=MAX(CÁLCULO!$M$15:$M$119),"F",""))</f>
        <v/>
      </c>
      <c r="B37" s="287">
        <f t="shared" ca="1" si="1"/>
        <v>23</v>
      </c>
      <c r="C37" s="647">
        <f ca="1">IF(AUTOEVENTO="Manual",IF($B37&lt;&gt;1,OFFSET(EVENTOS!$D$14,$B37,0),0),IF(B37&lt;=MAX(CÁLCULO!$M$15:$M$119),VLOOKUP($B37,CÁLCULO!$M$15:$N$119,2,FALSE),0))</f>
        <v>0</v>
      </c>
      <c r="D37" s="647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IF(AUTOEVENTO="Manual",IF(OFFSET(EVENTOS!$F$14,PLE!$B38,0)&gt;0,"F",""),IF(PLE!B38&lt;=MAX(CÁLCULO!$M$15:$M$119),"F",""))</f>
        <v/>
      </c>
      <c r="B38" s="287">
        <f t="shared" ca="1" si="1"/>
        <v>24</v>
      </c>
      <c r="C38" s="647">
        <f ca="1">IF(AUTOEVENTO="Manual",IF($B38&lt;&gt;1,OFFSET(EVENTOS!$D$14,$B38,0),0),IF(B38&lt;=MAX(CÁLCULO!$M$15:$M$119),VLOOKUP($B38,CÁLCULO!$M$15:$N$119,2,FALSE),0))</f>
        <v>0</v>
      </c>
      <c r="D38" s="647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IF(AUTOEVENTO="Manual",IF(OFFSET(EVENTOS!$F$14,PLE!$B39,0)&gt;0,"F",""),IF(PLE!B39&lt;=MAX(CÁLCULO!$M$15:$M$119),"F",""))</f>
        <v/>
      </c>
      <c r="B39" s="287">
        <f t="shared" ca="1" si="1"/>
        <v>25</v>
      </c>
      <c r="C39" s="647">
        <f ca="1">IF(AUTOEVENTO="Manual",IF($B39&lt;&gt;1,OFFSET(EVENTOS!$D$14,$B39,0),0),IF(B39&lt;=MAX(CÁLCULO!$M$15:$M$119),VLOOKUP($B39,CÁLCULO!$M$15:$N$119,2,FALSE),0))</f>
        <v>0</v>
      </c>
      <c r="D39" s="647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IF(AUTOEVENTO="Manual",IF(OFFSET(EVENTOS!$F$14,PLE!$B40,0)&gt;0,"F",""),IF(PLE!B40&lt;=MAX(CÁLCULO!$M$15:$M$119),"F",""))</f>
        <v/>
      </c>
      <c r="B40" s="287">
        <f t="shared" ca="1" si="1"/>
        <v>26</v>
      </c>
      <c r="C40" s="647">
        <f ca="1">IF(AUTOEVENTO="Manual",IF($B40&lt;&gt;1,OFFSET(EVENTOS!$D$14,$B40,0),0),IF(B40&lt;=MAX(CÁLCULO!$M$15:$M$119),VLOOKUP($B40,CÁLCULO!$M$15:$N$119,2,FALSE),0))</f>
        <v>0</v>
      </c>
      <c r="D40" s="647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IF(AUTOEVENTO="Manual",IF(OFFSET(EVENTOS!$F$14,PLE!$B41,0)&gt;0,"F",""),IF(PLE!B41&lt;=MAX(CÁLCULO!$M$15:$M$119),"F",""))</f>
        <v/>
      </c>
      <c r="B41" s="287">
        <f t="shared" ca="1" si="1"/>
        <v>27</v>
      </c>
      <c r="C41" s="647">
        <f ca="1">IF(AUTOEVENTO="Manual",IF($B41&lt;&gt;1,OFFSET(EVENTOS!$D$14,$B41,0),0),IF(B41&lt;=MAX(CÁLCULO!$M$15:$M$119),VLOOKUP($B41,CÁLCULO!$M$15:$N$119,2,FALSE),0))</f>
        <v>0</v>
      </c>
      <c r="D41" s="647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IF(AUTOEVENTO="Manual",IF(OFFSET(EVENTOS!$F$14,PLE!$B42,0)&gt;0,"F",""),IF(PLE!B42&lt;=MAX(CÁLCULO!$M$15:$M$119),"F",""))</f>
        <v/>
      </c>
      <c r="B42" s="287">
        <f t="shared" ca="1" si="1"/>
        <v>28</v>
      </c>
      <c r="C42" s="647">
        <f ca="1">IF(AUTOEVENTO="Manual",IF($B42&lt;&gt;1,OFFSET(EVENTOS!$D$14,$B42,0),0),IF(B42&lt;=MAX(CÁLCULO!$M$15:$M$119),VLOOKUP($B42,CÁLCULO!$M$15:$N$119,2,FALSE),0))</f>
        <v>0</v>
      </c>
      <c r="D42" s="647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IF(AUTOEVENTO="Manual",IF(OFFSET(EVENTOS!$F$14,PLE!$B43,0)&gt;0,"F",""),IF(PLE!B43&lt;=MAX(CÁLCULO!$M$15:$M$119),"F",""))</f>
        <v/>
      </c>
      <c r="B43" s="287">
        <f t="shared" ca="1" si="1"/>
        <v>29</v>
      </c>
      <c r="C43" s="647">
        <f ca="1">IF(AUTOEVENTO="Manual",IF($B43&lt;&gt;1,OFFSET(EVENTOS!$D$14,$B43,0),0),IF(B43&lt;=MAX(CÁLCULO!$M$15:$M$119),VLOOKUP($B43,CÁLCULO!$M$15:$N$119,2,FALSE),0))</f>
        <v>0</v>
      </c>
      <c r="D43" s="647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IF(AUTOEVENTO="Manual",IF(OFFSET(EVENTOS!$F$14,PLE!$B44,0)&gt;0,"F",""),IF(PLE!B44&lt;=MAX(CÁLCULO!$M$15:$M$119),"F",""))</f>
        <v/>
      </c>
      <c r="B44" s="287">
        <f t="shared" ca="1" si="1"/>
        <v>30</v>
      </c>
      <c r="C44" s="647">
        <f ca="1">IF(AUTOEVENTO="Manual",IF($B44&lt;&gt;1,OFFSET(EVENTOS!$D$14,$B44,0),0),IF(B44&lt;=MAX(CÁLCULO!$M$15:$M$119),VLOOKUP($B44,CÁLCULO!$M$15:$N$119,2,FALSE),0))</f>
        <v>0</v>
      </c>
      <c r="D44" s="647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IF(AUTOEVENTO="Manual",IF(OFFSET(EVENTOS!$F$14,PLE!$B45,0)&gt;0,"F",""),IF(PLE!B45&lt;=MAX(CÁLCULO!$M$15:$M$119),"F",""))</f>
        <v/>
      </c>
      <c r="B45" s="287">
        <f t="shared" ca="1" si="1"/>
        <v>31</v>
      </c>
      <c r="C45" s="647">
        <f ca="1">IF(AUTOEVENTO="Manual",IF($B45&lt;&gt;1,OFFSET(EVENTOS!$D$14,$B45,0),0),IF(B45&lt;=MAX(CÁLCULO!$M$15:$M$119),VLOOKUP($B45,CÁLCULO!$M$15:$N$119,2,FALSE),0))</f>
        <v>0</v>
      </c>
      <c r="D45" s="647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IF(AUTOEVENTO="Manual",IF(OFFSET(EVENTOS!$F$14,PLE!$B46,0)&gt;0,"F",""),IF(PLE!B46&lt;=MAX(CÁLCULO!$M$15:$M$119),"F",""))</f>
        <v/>
      </c>
      <c r="B46" s="287">
        <f t="shared" ca="1" si="1"/>
        <v>32</v>
      </c>
      <c r="C46" s="647">
        <f ca="1">IF(AUTOEVENTO="Manual",IF($B46&lt;&gt;1,OFFSET(EVENTOS!$D$14,$B46,0),0),IF(B46&lt;=MAX(CÁLCULO!$M$15:$M$119),VLOOKUP($B46,CÁLCULO!$M$15:$N$119,2,FALSE),0))</f>
        <v>0</v>
      </c>
      <c r="D46" s="647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IF(AUTOEVENTO="Manual",IF(OFFSET(EVENTOS!$F$14,PLE!$B47,0)&gt;0,"F",""),IF(PLE!B47&lt;=MAX(CÁLCULO!$M$15:$M$119),"F",""))</f>
        <v/>
      </c>
      <c r="B47" s="287">
        <f t="shared" ca="1" si="1"/>
        <v>33</v>
      </c>
      <c r="C47" s="647">
        <f ca="1">IF(AUTOEVENTO="Manual",IF($B47&lt;&gt;1,OFFSET(EVENTOS!$D$14,$B47,0),0),IF(B47&lt;=MAX(CÁLCULO!$M$15:$M$119),VLOOKUP($B47,CÁLCULO!$M$15:$N$119,2,FALSE),0))</f>
        <v>0</v>
      </c>
      <c r="D47" s="647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IF(AUTOEVENTO="Manual",IF(OFFSET(EVENTOS!$F$14,PLE!$B48,0)&gt;0,"F",""),IF(PLE!B48&lt;=MAX(CÁLCULO!$M$15:$M$119),"F",""))</f>
        <v/>
      </c>
      <c r="B48" s="287">
        <f t="shared" ca="1" si="1"/>
        <v>34</v>
      </c>
      <c r="C48" s="647">
        <f ca="1">IF(AUTOEVENTO="Manual",IF($B48&lt;&gt;1,OFFSET(EVENTOS!$D$14,$B48,0),0),IF(B48&lt;=MAX(CÁLCULO!$M$15:$M$119),VLOOKUP($B48,CÁLCULO!$M$15:$N$119,2,FALSE),0))</f>
        <v>0</v>
      </c>
      <c r="D48" s="647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IF(AUTOEVENTO="Manual",IF(OFFSET(EVENTOS!$F$14,PLE!$B49,0)&gt;0,"F",""),IF(PLE!B49&lt;=MAX(CÁLCULO!$M$15:$M$119),"F",""))</f>
        <v/>
      </c>
      <c r="B49" s="287">
        <f t="shared" ca="1" si="1"/>
        <v>35</v>
      </c>
      <c r="C49" s="647">
        <f ca="1">IF(AUTOEVENTO="Manual",IF($B49&lt;&gt;1,OFFSET(EVENTOS!$D$14,$B49,0),0),IF(B49&lt;=MAX(CÁLCULO!$M$15:$M$119),VLOOKUP($B49,CÁLCULO!$M$15:$N$119,2,FALSE),0))</f>
        <v>0</v>
      </c>
      <c r="D49" s="647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IF(AUTOEVENTO="Manual",IF(OFFSET(EVENTOS!$F$14,PLE!$B50,0)&gt;0,"F",""),IF(PLE!B50&lt;=MAX(CÁLCULO!$M$15:$M$119),"F",""))</f>
        <v/>
      </c>
      <c r="B50" s="287">
        <f t="shared" ca="1" si="1"/>
        <v>36</v>
      </c>
      <c r="C50" s="647">
        <f ca="1">IF(AUTOEVENTO="Manual",IF($B50&lt;&gt;1,OFFSET(EVENTOS!$D$14,$B50,0),0),IF(B50&lt;=MAX(CÁLCULO!$M$15:$M$119),VLOOKUP($B50,CÁLCULO!$M$15:$N$119,2,FALSE),0))</f>
        <v>0</v>
      </c>
      <c r="D50" s="647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IF(AUTOEVENTO="Manual",IF(OFFSET(EVENTOS!$F$14,PLE!$B51,0)&gt;0,"F",""),IF(PLE!B51&lt;=MAX(CÁLCULO!$M$15:$M$119),"F",""))</f>
        <v/>
      </c>
      <c r="B51" s="287">
        <f t="shared" ca="1" si="1"/>
        <v>37</v>
      </c>
      <c r="C51" s="647">
        <f ca="1">IF(AUTOEVENTO="Manual",IF($B51&lt;&gt;1,OFFSET(EVENTOS!$D$14,$B51,0),0),IF(B51&lt;=MAX(CÁLCULO!$M$15:$M$119),VLOOKUP($B51,CÁLCULO!$M$15:$N$119,2,FALSE),0))</f>
        <v>0</v>
      </c>
      <c r="D51" s="647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IF(AUTOEVENTO="Manual",IF(OFFSET(EVENTOS!$F$14,PLE!$B52,0)&gt;0,"F",""),IF(PLE!B52&lt;=MAX(CÁLCULO!$M$15:$M$119),"F",""))</f>
        <v/>
      </c>
      <c r="B52" s="287">
        <f t="shared" ca="1" si="1"/>
        <v>38</v>
      </c>
      <c r="C52" s="647">
        <f ca="1">IF(AUTOEVENTO="Manual",IF($B52&lt;&gt;1,OFFSET(EVENTOS!$D$14,$B52,0),0),IF(B52&lt;=MAX(CÁLCULO!$M$15:$M$119),VLOOKUP($B52,CÁLCULO!$M$15:$N$119,2,FALSE),0))</f>
        <v>0</v>
      </c>
      <c r="D52" s="647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IF(AUTOEVENTO="Manual",IF(OFFSET(EVENTOS!$F$14,PLE!$B53,0)&gt;0,"F",""),IF(PLE!B53&lt;=MAX(CÁLCULO!$M$15:$M$119),"F",""))</f>
        <v/>
      </c>
      <c r="B53" s="287">
        <f t="shared" ca="1" si="1"/>
        <v>39</v>
      </c>
      <c r="C53" s="647">
        <f ca="1">IF(AUTOEVENTO="Manual",IF($B53&lt;&gt;1,OFFSET(EVENTOS!$D$14,$B53,0),0),IF(B53&lt;=MAX(CÁLCULO!$M$15:$M$119),VLOOKUP($B53,CÁLCULO!$M$15:$N$119,2,FALSE),0))</f>
        <v>0</v>
      </c>
      <c r="D53" s="647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IF(AUTOEVENTO="Manual",IF(OFFSET(EVENTOS!$F$14,PLE!$B54,0)&gt;0,"F",""),IF(PLE!B54&lt;=MAX(CÁLCULO!$M$15:$M$119),"F",""))</f>
        <v/>
      </c>
      <c r="B54" s="287">
        <f t="shared" ca="1" si="1"/>
        <v>40</v>
      </c>
      <c r="C54" s="647">
        <f ca="1">IF(AUTOEVENTO="Manual",IF($B54&lt;&gt;1,OFFSET(EVENTOS!$D$14,$B54,0),0),IF(B54&lt;=MAX(CÁLCULO!$M$15:$M$119),VLOOKUP($B54,CÁLCULO!$M$15:$N$119,2,FALSE),0))</f>
        <v>0</v>
      </c>
      <c r="D54" s="647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IF(AUTOEVENTO="Manual",IF(OFFSET(EVENTOS!$F$14,PLE!$B55,0)&gt;0,"F",""),IF(PLE!B55&lt;=MAX(CÁLCULO!$M$15:$M$119),"F",""))</f>
        <v/>
      </c>
      <c r="B55" s="287">
        <f t="shared" ca="1" si="1"/>
        <v>41</v>
      </c>
      <c r="C55" s="647">
        <f ca="1">IF(AUTOEVENTO="Manual",IF($B55&lt;&gt;1,OFFSET(EVENTOS!$D$14,$B55,0),0),IF(B55&lt;=MAX(CÁLCULO!$M$15:$M$119),VLOOKUP($B55,CÁLCULO!$M$15:$N$119,2,FALSE),0))</f>
        <v>0</v>
      </c>
      <c r="D55" s="647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IF(AUTOEVENTO="Manual",IF(OFFSET(EVENTOS!$F$14,PLE!$B56,0)&gt;0,"F",""),IF(PLE!B56&lt;=MAX(CÁLCULO!$M$15:$M$119),"F",""))</f>
        <v/>
      </c>
      <c r="B56" s="287">
        <f t="shared" ca="1" si="1"/>
        <v>42</v>
      </c>
      <c r="C56" s="647">
        <f ca="1">IF(AUTOEVENTO="Manual",IF($B56&lt;&gt;1,OFFSET(EVENTOS!$D$14,$B56,0),0),IF(B56&lt;=MAX(CÁLCULO!$M$15:$M$119),VLOOKUP($B56,CÁLCULO!$M$15:$N$119,2,FALSE),0))</f>
        <v>0</v>
      </c>
      <c r="D56" s="647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IF(AUTOEVENTO="Manual",IF(OFFSET(EVENTOS!$F$14,PLE!$B57,0)&gt;0,"F",""),IF(PLE!B57&lt;=MAX(CÁLCULO!$M$15:$M$119),"F",""))</f>
        <v/>
      </c>
      <c r="B57" s="287">
        <f t="shared" ca="1" si="1"/>
        <v>43</v>
      </c>
      <c r="C57" s="647">
        <f ca="1">IF(AUTOEVENTO="Manual",IF($B57&lt;&gt;1,OFFSET(EVENTOS!$D$14,$B57,0),0),IF(B57&lt;=MAX(CÁLCULO!$M$15:$M$119),VLOOKUP($B57,CÁLCULO!$M$15:$N$119,2,FALSE),0))</f>
        <v>0</v>
      </c>
      <c r="D57" s="647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IF(AUTOEVENTO="Manual",IF(OFFSET(EVENTOS!$F$14,PLE!$B58,0)&gt;0,"F",""),IF(PLE!B58&lt;=MAX(CÁLCULO!$M$15:$M$119),"F",""))</f>
        <v/>
      </c>
      <c r="B58" s="287">
        <f t="shared" ca="1" si="1"/>
        <v>44</v>
      </c>
      <c r="C58" s="647">
        <f ca="1">IF(AUTOEVENTO="Manual",IF($B58&lt;&gt;1,OFFSET(EVENTOS!$D$14,$B58,0),0),IF(B58&lt;=MAX(CÁLCULO!$M$15:$M$119),VLOOKUP($B58,CÁLCULO!$M$15:$N$119,2,FALSE),0))</f>
        <v>0</v>
      </c>
      <c r="D58" s="647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IF(AUTOEVENTO="Manual",IF(OFFSET(EVENTOS!$F$14,PLE!$B59,0)&gt;0,"F",""),IF(PLE!B59&lt;=MAX(CÁLCULO!$M$15:$M$119),"F",""))</f>
        <v/>
      </c>
      <c r="B59" s="287">
        <f t="shared" ca="1" si="1"/>
        <v>45</v>
      </c>
      <c r="C59" s="647">
        <f ca="1">IF(AUTOEVENTO="Manual",IF($B59&lt;&gt;1,OFFSET(EVENTOS!$D$14,$B59,0),0),IF(B59&lt;=MAX(CÁLCULO!$M$15:$M$119),VLOOKUP($B59,CÁLCULO!$M$15:$N$119,2,FALSE),0))</f>
        <v>0</v>
      </c>
      <c r="D59" s="647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IF(AUTOEVENTO="Manual",IF(OFFSET(EVENTOS!$F$14,PLE!$B60,0)&gt;0,"F",""),IF(PLE!B60&lt;=MAX(CÁLCULO!$M$15:$M$119),"F",""))</f>
        <v/>
      </c>
      <c r="B60" s="287">
        <f t="shared" ca="1" si="1"/>
        <v>46</v>
      </c>
      <c r="C60" s="647">
        <f ca="1">IF(AUTOEVENTO="Manual",IF($B60&lt;&gt;1,OFFSET(EVENTOS!$D$14,$B60,0),0),IF(B60&lt;=MAX(CÁLCULO!$M$15:$M$119),VLOOKUP($B60,CÁLCULO!$M$15:$N$119,2,FALSE),0))</f>
        <v>0</v>
      </c>
      <c r="D60" s="647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IF(AUTOEVENTO="Manual",IF(OFFSET(EVENTOS!$F$14,PLE!$B61,0)&gt;0,"F",""),IF(PLE!B61&lt;=MAX(CÁLCULO!$M$15:$M$119),"F",""))</f>
        <v/>
      </c>
      <c r="B61" s="287">
        <f t="shared" ca="1" si="1"/>
        <v>47</v>
      </c>
      <c r="C61" s="647">
        <f ca="1">IF(AUTOEVENTO="Manual",IF($B61&lt;&gt;1,OFFSET(EVENTOS!$D$14,$B61,0),0),IF(B61&lt;=MAX(CÁLCULO!$M$15:$M$119),VLOOKUP($B61,CÁLCULO!$M$15:$N$119,2,FALSE),0))</f>
        <v>0</v>
      </c>
      <c r="D61" s="647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IF(AUTOEVENTO="Manual",IF(OFFSET(EVENTOS!$F$14,PLE!$B62,0)&gt;0,"F",""),IF(PLE!B62&lt;=MAX(CÁLCULO!$M$15:$M$119),"F",""))</f>
        <v/>
      </c>
      <c r="B62" s="287">
        <f t="shared" ca="1" si="1"/>
        <v>48</v>
      </c>
      <c r="C62" s="647">
        <f ca="1">IF(AUTOEVENTO="Manual",IF($B62&lt;&gt;1,OFFSET(EVENTOS!$D$14,$B62,0),0),IF(B62&lt;=MAX(CÁLCULO!$M$15:$M$119),VLOOKUP($B62,CÁLCULO!$M$15:$N$119,2,FALSE),0))</f>
        <v>0</v>
      </c>
      <c r="D62" s="647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IF(AUTOEVENTO="Manual",IF(OFFSET(EVENTOS!$F$14,PLE!$B63,0)&gt;0,"F",""),IF(PLE!B63&lt;=MAX(CÁLCULO!$M$15:$M$119),"F",""))</f>
        <v/>
      </c>
      <c r="B63" s="287">
        <f t="shared" ca="1" si="1"/>
        <v>49</v>
      </c>
      <c r="C63" s="647">
        <f ca="1">IF(AUTOEVENTO="Manual",IF($B63&lt;&gt;1,OFFSET(EVENTOS!$D$14,$B63,0),0),IF(B63&lt;=MAX(CÁLCULO!$M$15:$M$119),VLOOKUP($B63,CÁLCULO!$M$15:$N$119,2,FALSE),0))</f>
        <v>0</v>
      </c>
      <c r="D63" s="647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IF(AUTOEVENTO="Manual",IF(OFFSET(EVENTOS!$F$14,PLE!$B64,0)&gt;0,"F",""),IF(PLE!B64&lt;=MAX(CÁLCULO!$M$15:$M$119),"F",""))</f>
        <v/>
      </c>
      <c r="B64" s="287">
        <f t="shared" ca="1" si="1"/>
        <v>50</v>
      </c>
      <c r="C64" s="647">
        <f ca="1">IF(AUTOEVENTO="Manual",IF($B64&lt;&gt;1,OFFSET(EVENTOS!$D$14,$B64,0),0),IF(B64&lt;=MAX(CÁLCULO!$M$15:$M$119),VLOOKUP($B64,CÁLCULO!$M$15:$N$119,2,FALSE),0))</f>
        <v>0</v>
      </c>
      <c r="D64" s="647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ht="4.5" customHeight="1" x14ac:dyDescent="0.2">
      <c r="A65" s="7" t="s">
        <v>246</v>
      </c>
      <c r="B65" s="484"/>
      <c r="C65" s="485"/>
      <c r="D65" s="486"/>
      <c r="F65" s="138"/>
      <c r="H65" s="484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5"/>
      <c r="AB65" s="485"/>
      <c r="AC65" s="485"/>
      <c r="AD65" s="485"/>
      <c r="AE65" s="485"/>
      <c r="AF65" s="486"/>
    </row>
    <row r="66" spans="1:32" x14ac:dyDescent="0.2">
      <c r="A66" s="7" t="s">
        <v>246</v>
      </c>
    </row>
    <row r="67" spans="1:32" x14ac:dyDescent="0.2">
      <c r="A67" s="7" t="s">
        <v>246</v>
      </c>
      <c r="I67" s="654" t="s">
        <v>298</v>
      </c>
      <c r="J67" s="654"/>
      <c r="K67" s="654"/>
      <c r="L67" s="654"/>
      <c r="M67" s="654"/>
      <c r="N67" s="654"/>
      <c r="O67" s="654"/>
      <c r="P67" s="654"/>
      <c r="Q67" s="654"/>
      <c r="R67" s="654"/>
      <c r="S67" s="654"/>
      <c r="T67" s="654"/>
      <c r="U67" s="654"/>
      <c r="V67" s="654"/>
      <c r="W67" s="654"/>
      <c r="X67" s="654"/>
      <c r="Y67" s="654"/>
      <c r="Z67" s="654"/>
      <c r="AA67" s="654"/>
      <c r="AB67" s="654"/>
      <c r="AC67" s="654"/>
      <c r="AD67" s="654"/>
      <c r="AE67" s="654"/>
      <c r="AF67" s="654"/>
    </row>
    <row r="68" spans="1:32" x14ac:dyDescent="0.2">
      <c r="A68" s="7" t="s">
        <v>246</v>
      </c>
      <c r="I68" s="669"/>
      <c r="J68" s="655"/>
      <c r="K68" s="655"/>
      <c r="L68" s="655"/>
      <c r="M68" s="655"/>
      <c r="N68" s="655"/>
      <c r="O68" s="655"/>
      <c r="P68" s="655"/>
      <c r="Q68" s="655"/>
      <c r="R68" s="655"/>
      <c r="S68" s="655"/>
      <c r="T68" s="655"/>
      <c r="U68" s="655"/>
      <c r="V68" s="655"/>
      <c r="W68" s="655"/>
      <c r="X68" s="655"/>
      <c r="Y68" s="655"/>
      <c r="Z68" s="655"/>
      <c r="AA68" s="655"/>
      <c r="AB68" s="655"/>
      <c r="AC68" s="655"/>
      <c r="AD68" s="655"/>
      <c r="AE68" s="655"/>
      <c r="AF68" s="660"/>
    </row>
    <row r="69" spans="1:32" x14ac:dyDescent="0.2">
      <c r="A69" s="7" t="s">
        <v>246</v>
      </c>
      <c r="D69" s="310" t="s">
        <v>299</v>
      </c>
      <c r="I69" s="659">
        <f>IF(PLE.Medicao&lt;=12,1,TRUNC((PLE.Medicao - 2)/11,0) * 11 + 1)</f>
        <v>1</v>
      </c>
      <c r="J69" s="659"/>
      <c r="K69" s="659">
        <f>I69+1</f>
        <v>2</v>
      </c>
      <c r="L69" s="659"/>
      <c r="M69" s="659">
        <f>K69+1</f>
        <v>3</v>
      </c>
      <c r="N69" s="659"/>
      <c r="O69" s="659">
        <f>M69+1</f>
        <v>4</v>
      </c>
      <c r="P69" s="659"/>
      <c r="Q69" s="659">
        <f>O69+1</f>
        <v>5</v>
      </c>
      <c r="R69" s="659"/>
      <c r="S69" s="659">
        <f>Q69+1</f>
        <v>6</v>
      </c>
      <c r="T69" s="659"/>
      <c r="U69" s="659">
        <f>S69+1</f>
        <v>7</v>
      </c>
      <c r="V69" s="659"/>
      <c r="W69" s="659">
        <f>U69+1</f>
        <v>8</v>
      </c>
      <c r="X69" s="659"/>
      <c r="Y69" s="659">
        <f>W69+1</f>
        <v>9</v>
      </c>
      <c r="Z69" s="659"/>
      <c r="AA69" s="659">
        <f>Y69+1</f>
        <v>10</v>
      </c>
      <c r="AB69" s="659"/>
      <c r="AC69" s="659">
        <f>AA69+1</f>
        <v>11</v>
      </c>
      <c r="AD69" s="659"/>
      <c r="AE69" s="659">
        <f>AC69+1</f>
        <v>12</v>
      </c>
      <c r="AF69" s="659"/>
    </row>
    <row r="70" spans="1:32" x14ac:dyDescent="0.2">
      <c r="A70" s="7" t="s">
        <v>246</v>
      </c>
      <c r="D70" s="664" t="s">
        <v>283</v>
      </c>
      <c r="H70" s="311" t="s">
        <v>300</v>
      </c>
      <c r="I70" s="668">
        <f ca="1">ROUND(I71,2)/ORÇAMENTO!$X$15</f>
        <v>0</v>
      </c>
      <c r="J70" s="668"/>
      <c r="K70" s="658">
        <f ca="1">ROUND(K71,2)/ORÇAMENTO!$X$15</f>
        <v>0</v>
      </c>
      <c r="L70" s="658"/>
      <c r="M70" s="657">
        <f ca="1">ROUND(M71,2)/ORÇAMENTO!$X$15</f>
        <v>0</v>
      </c>
      <c r="N70" s="657"/>
      <c r="O70" s="658">
        <f ca="1">ROUND(O71,2)/ORÇAMENTO!$X$15</f>
        <v>0</v>
      </c>
      <c r="P70" s="658"/>
      <c r="Q70" s="657">
        <f ca="1">ROUND(Q71,2)/ORÇAMENTO!$X$15</f>
        <v>0</v>
      </c>
      <c r="R70" s="657"/>
      <c r="S70" s="658">
        <f ca="1">ROUND(S71,2)/ORÇAMENTO!$X$15</f>
        <v>0</v>
      </c>
      <c r="T70" s="658"/>
      <c r="U70" s="657">
        <f ca="1">ROUND(U71,2)/ORÇAMENTO!$X$15</f>
        <v>0</v>
      </c>
      <c r="V70" s="657"/>
      <c r="W70" s="658">
        <f ca="1">ROUND(W71,2)/ORÇAMENTO!$X$15</f>
        <v>0</v>
      </c>
      <c r="X70" s="658"/>
      <c r="Y70" s="657">
        <f ca="1">ROUND(Y71,2)/ORÇAMENTO!$X$15</f>
        <v>0</v>
      </c>
      <c r="Z70" s="657"/>
      <c r="AA70" s="658">
        <f ca="1">ROUND(AA71,2)/ORÇAMENTO!$X$15</f>
        <v>0</v>
      </c>
      <c r="AB70" s="658"/>
      <c r="AC70" s="657">
        <f ca="1">ROUND(AC71,2)/ORÇAMENTO!$X$15</f>
        <v>0</v>
      </c>
      <c r="AD70" s="657"/>
      <c r="AE70" s="658">
        <f ca="1">ROUND(AE71,2)/ORÇAMENTO!$X$15</f>
        <v>0</v>
      </c>
      <c r="AF70" s="658"/>
    </row>
    <row r="71" spans="1:32" x14ac:dyDescent="0.2">
      <c r="A71" s="7" t="s">
        <v>246</v>
      </c>
      <c r="D71" s="664"/>
      <c r="H71" s="12" t="s">
        <v>301</v>
      </c>
      <c r="I71" s="661">
        <f ca="1">IF(I69=1,I73,ROUND(I73,2)-ROUND(SUMIF(CÁLCULO!$AX$15:$BH$119,"&lt;="&amp;PLE!I69-1,CÁLCULO!$AB$15:$AL$119)*(1+CÁLCULO.TotalAdmLocal/(ORÇAMENTO!$X$15-CÁLCULO.TotalAdmLocal)),2))</f>
        <v>0</v>
      </c>
      <c r="J71" s="661"/>
      <c r="K71" s="661">
        <f ca="1">ROUND(K73,2)-ROUND(I73,2)</f>
        <v>0</v>
      </c>
      <c r="L71" s="661"/>
      <c r="M71" s="666">
        <f ca="1">ROUND(M73,2)-ROUND(K73,2)</f>
        <v>0</v>
      </c>
      <c r="N71" s="666"/>
      <c r="O71" s="661">
        <f ca="1">ROUND(O73,2)-ROUND(M73,2)</f>
        <v>0</v>
      </c>
      <c r="P71" s="661"/>
      <c r="Q71" s="666">
        <f ca="1">ROUND(Q73,2)-ROUND(O73,2)</f>
        <v>0</v>
      </c>
      <c r="R71" s="666"/>
      <c r="S71" s="661">
        <f ca="1">ROUND(S73,2)-ROUND(Q73,2)</f>
        <v>0</v>
      </c>
      <c r="T71" s="661"/>
      <c r="U71" s="666">
        <f ca="1">ROUND(U73,2)-ROUND(S73,2)</f>
        <v>0</v>
      </c>
      <c r="V71" s="666"/>
      <c r="W71" s="661">
        <f ca="1">ROUND(W73,2)-ROUND(U73,2)</f>
        <v>0</v>
      </c>
      <c r="X71" s="661"/>
      <c r="Y71" s="666">
        <f ca="1">ROUND(Y73,2)-ROUND(W73,2)</f>
        <v>0</v>
      </c>
      <c r="Z71" s="666"/>
      <c r="AA71" s="661">
        <f ca="1">ROUND(AA73,2)-ROUND(Y73,2)</f>
        <v>0</v>
      </c>
      <c r="AB71" s="661"/>
      <c r="AC71" s="666">
        <f ca="1">ROUND(AC73,2)-ROUND(AA73,2)</f>
        <v>0</v>
      </c>
      <c r="AD71" s="666"/>
      <c r="AE71" s="661">
        <f ca="1">ROUND(AE73,2)-ROUND(AC73,2)</f>
        <v>0</v>
      </c>
      <c r="AF71" s="661"/>
    </row>
    <row r="72" spans="1:32" x14ac:dyDescent="0.2">
      <c r="A72" s="7" t="s">
        <v>246</v>
      </c>
      <c r="D72" s="664" t="s">
        <v>287</v>
      </c>
      <c r="H72" s="311" t="s">
        <v>300</v>
      </c>
      <c r="I72" s="663">
        <f ca="1">ROUND(I73,2)/ORÇAMENTO!$X$15</f>
        <v>0</v>
      </c>
      <c r="J72" s="663"/>
      <c r="K72" s="662">
        <f ca="1">ROUND(K73,2)/ORÇAMENTO!$X$15</f>
        <v>0</v>
      </c>
      <c r="L72" s="662"/>
      <c r="M72" s="665">
        <f ca="1">ROUND(M73,2)/ORÇAMENTO!$X$15</f>
        <v>0</v>
      </c>
      <c r="N72" s="665"/>
      <c r="O72" s="662">
        <f ca="1">ROUND(O73,2)/ORÇAMENTO!$X$15</f>
        <v>0</v>
      </c>
      <c r="P72" s="662"/>
      <c r="Q72" s="665">
        <f ca="1">ROUND(Q73,2)/ORÇAMENTO!$X$15</f>
        <v>0</v>
      </c>
      <c r="R72" s="665"/>
      <c r="S72" s="662">
        <f ca="1">ROUND(S73,2)/ORÇAMENTO!$X$15</f>
        <v>0</v>
      </c>
      <c r="T72" s="662"/>
      <c r="U72" s="665">
        <f ca="1">ROUND(U73,2)/ORÇAMENTO!$X$15</f>
        <v>0</v>
      </c>
      <c r="V72" s="665"/>
      <c r="W72" s="662">
        <f ca="1">ROUND(W73,2)/ORÇAMENTO!$X$15</f>
        <v>0</v>
      </c>
      <c r="X72" s="662"/>
      <c r="Y72" s="665">
        <f ca="1">ROUND(Y73,2)/ORÇAMENTO!$X$15</f>
        <v>0</v>
      </c>
      <c r="Z72" s="665"/>
      <c r="AA72" s="662">
        <f ca="1">ROUND(AA73,2)/ORÇAMENTO!$X$15</f>
        <v>0</v>
      </c>
      <c r="AB72" s="662"/>
      <c r="AC72" s="665">
        <f ca="1">ROUND(AC73,2)/ORÇAMENTO!$X$15</f>
        <v>0</v>
      </c>
      <c r="AD72" s="665"/>
      <c r="AE72" s="662">
        <f ca="1">ROUND(AE73,2)/ORÇAMENTO!$X$15</f>
        <v>0</v>
      </c>
      <c r="AF72" s="662"/>
    </row>
    <row r="73" spans="1:32" x14ac:dyDescent="0.2">
      <c r="A73" s="7" t="s">
        <v>246</v>
      </c>
      <c r="D73" s="664"/>
      <c r="H73" s="12" t="s">
        <v>301</v>
      </c>
      <c r="I73" s="667">
        <f ca="1">SUMIF(CÁLCULO!$AX$15:$BH$119,"&lt;="&amp;PLE!I69,CÁLCULO!$AB$15:$AL$119)*(1+CÁLCULO.TotalAdmLocal/(ORÇAMENTO!$X$15-CÁLCULO.TotalAdmLocal))</f>
        <v>0</v>
      </c>
      <c r="J73" s="667"/>
      <c r="K73" s="661">
        <f ca="1">SUMIF(CÁLCULO!$AX$15:$BH$119,"&lt;="&amp;PLE!K69,CÁLCULO!$AB$15:$AL$119)*(1+CÁLCULO.TotalAdmLocal/(ORÇAMENTO!$X$15-CÁLCULO.TotalAdmLocal))</f>
        <v>0</v>
      </c>
      <c r="L73" s="661"/>
      <c r="M73" s="666">
        <f ca="1">SUMIF(CÁLCULO!$AX$15:$BH$119,"&lt;="&amp;PLE!M69,CÁLCULO!$AB$15:$AL$119)*(1+CÁLCULO.TotalAdmLocal/(ORÇAMENTO!$X$15-CÁLCULO.TotalAdmLocal))</f>
        <v>0</v>
      </c>
      <c r="N73" s="666"/>
      <c r="O73" s="661">
        <f ca="1">SUMIF(CÁLCULO!$AX$15:$BH$119,"&lt;="&amp;PLE!O69,CÁLCULO!$AB$15:$AL$119)*(1+CÁLCULO.TotalAdmLocal/(ORÇAMENTO!$X$15-CÁLCULO.TotalAdmLocal))</f>
        <v>0</v>
      </c>
      <c r="P73" s="661"/>
      <c r="Q73" s="666">
        <f ca="1">SUMIF(CÁLCULO!$AX$15:$BH$119,"&lt;="&amp;PLE!Q69,CÁLCULO!$AB$15:$AL$119)*(1+CÁLCULO.TotalAdmLocal/(ORÇAMENTO!$X$15-CÁLCULO.TotalAdmLocal))</f>
        <v>0</v>
      </c>
      <c r="R73" s="666"/>
      <c r="S73" s="661">
        <f ca="1">SUMIF(CÁLCULO!$AX$15:$BH$119,"&lt;="&amp;PLE!S69,CÁLCULO!$AB$15:$AL$119)*(1+CÁLCULO.TotalAdmLocal/(ORÇAMENTO!$X$15-CÁLCULO.TotalAdmLocal))</f>
        <v>0</v>
      </c>
      <c r="T73" s="661"/>
      <c r="U73" s="666">
        <f ca="1">SUMIF(CÁLCULO!$AX$15:$BH$119,"&lt;="&amp;PLE!U69,CÁLCULO!$AB$15:$AL$119)*(1+CÁLCULO.TotalAdmLocal/(ORÇAMENTO!$X$15-CÁLCULO.TotalAdmLocal))</f>
        <v>0</v>
      </c>
      <c r="V73" s="666"/>
      <c r="W73" s="661">
        <f ca="1">SUMIF(CÁLCULO!$AX$15:$BH$119,"&lt;="&amp;PLE!W69,CÁLCULO!$AB$15:$AL$119)*(1+CÁLCULO.TotalAdmLocal/(ORÇAMENTO!$X$15-CÁLCULO.TotalAdmLocal))</f>
        <v>0</v>
      </c>
      <c r="X73" s="661"/>
      <c r="Y73" s="666">
        <f ca="1">SUMIF(CÁLCULO!$AX$15:$BH$119,"&lt;="&amp;PLE!Y69,CÁLCULO!$AB$15:$AL$119)*(1+CÁLCULO.TotalAdmLocal/(ORÇAMENTO!$X$15-CÁLCULO.TotalAdmLocal))</f>
        <v>0</v>
      </c>
      <c r="Z73" s="666"/>
      <c r="AA73" s="661">
        <f ca="1">SUMIF(CÁLCULO!$AX$15:$BH$119,"&lt;="&amp;PLE!AA69,CÁLCULO!$AB$15:$AL$119)*(1+CÁLCULO.TotalAdmLocal/(ORÇAMENTO!$X$15-CÁLCULO.TotalAdmLocal))</f>
        <v>0</v>
      </c>
      <c r="AB73" s="661"/>
      <c r="AC73" s="666">
        <f ca="1">SUMIF(CÁLCULO!$AX$15:$BH$119,"&lt;="&amp;PLE!AC69,CÁLCULO!$AB$15:$AL$119)*(1+CÁLCULO.TotalAdmLocal/(ORÇAMENTO!$X$15-CÁLCULO.TotalAdmLocal))</f>
        <v>0</v>
      </c>
      <c r="AD73" s="666"/>
      <c r="AE73" s="661">
        <f ca="1">SUMIF(CÁLCULO!$AX$15:$BH$119,"&lt;="&amp;PLE!AE69,CÁLCULO!$AB$15:$AL$119)*(1+CÁLCULO.TotalAdmLocal/(ORÇAMENTO!$X$15-CÁLCULO.TotalAdmLocal))</f>
        <v>0</v>
      </c>
      <c r="AF73" s="661"/>
    </row>
    <row r="74" spans="1:32" ht="20.25" customHeight="1" x14ac:dyDescent="0.2">
      <c r="A74" s="7" t="s">
        <v>246</v>
      </c>
    </row>
    <row r="75" spans="1:32" ht="15" x14ac:dyDescent="0.2">
      <c r="A75" s="7" t="s">
        <v>246</v>
      </c>
      <c r="B75" s="617" t="str">
        <f>Import.Município</f>
        <v>CÂNDIDO GODÓI</v>
      </c>
      <c r="C75" s="617"/>
      <c r="D75" s="617"/>
      <c r="U75" s="145"/>
      <c r="V75" s="145"/>
      <c r="W75" s="145"/>
      <c r="X75" s="145"/>
      <c r="Y75" s="194"/>
      <c r="Z75" s="194"/>
      <c r="AA75" s="194"/>
      <c r="AB75" s="194"/>
      <c r="AC75" s="194"/>
      <c r="AD75" s="194"/>
    </row>
    <row r="76" spans="1:32" x14ac:dyDescent="0.2">
      <c r="A76" s="7" t="s">
        <v>246</v>
      </c>
      <c r="B76" s="10" t="s">
        <v>188</v>
      </c>
      <c r="U76" s="195" t="s">
        <v>302</v>
      </c>
    </row>
    <row r="77" spans="1:32" x14ac:dyDescent="0.2">
      <c r="A77" s="7" t="s">
        <v>246</v>
      </c>
      <c r="I77" s="80"/>
      <c r="U77" s="78" t="s">
        <v>108</v>
      </c>
      <c r="W77" s="312" t="str">
        <f t="array" ref="W77:W80">Import.RespFiscalização</f>
        <v>DANIEL RODRIGO GOERLACH</v>
      </c>
    </row>
    <row r="78" spans="1:32" x14ac:dyDescent="0.2">
      <c r="A78" s="7" t="s">
        <v>246</v>
      </c>
      <c r="B78" s="612">
        <f>DADOS!$F$48</f>
        <v>45777</v>
      </c>
      <c r="C78" s="612"/>
      <c r="D78" s="612"/>
      <c r="I78" s="80"/>
      <c r="U78" s="78" t="s">
        <v>127</v>
      </c>
      <c r="W78" s="312" t="str">
        <v>ENGENHEIRO CIVIL</v>
      </c>
    </row>
    <row r="79" spans="1:32" x14ac:dyDescent="0.2">
      <c r="A79" s="7" t="s">
        <v>246</v>
      </c>
      <c r="B79" s="146" t="s">
        <v>189</v>
      </c>
      <c r="C79" s="1"/>
      <c r="D79" s="1"/>
      <c r="I79" s="80"/>
      <c r="U79" s="78" t="s">
        <v>109</v>
      </c>
      <c r="W79" s="312" t="str">
        <v>CREA/RS 130.189</v>
      </c>
    </row>
    <row r="80" spans="1:32" x14ac:dyDescent="0.2">
      <c r="U80" s="78" t="s">
        <v>110</v>
      </c>
      <c r="W80" s="13">
        <v>0</v>
      </c>
    </row>
  </sheetData>
  <autoFilter ref="A13:A79"/>
  <mergeCells count="143"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</mergeCells>
  <phoneticPr fontId="38" type="noConversion"/>
  <conditionalFormatting sqref="F1:F2">
    <cfRule type="expression" dxfId="209" priority="439" stopIfTrue="1">
      <formula>IF(OR(ACOMPANHAMENTO="BM",F$12&gt;CÁLCULO.NúmeroDeFrentes),TRUE,PLE.ValorDoEvento=0)</formula>
    </cfRule>
    <cfRule type="cellIs" dxfId="208" priority="440" stopIfTrue="1" operator="equal">
      <formula>$J$9</formula>
    </cfRule>
  </conditionalFormatting>
  <conditionalFormatting sqref="I70:AF70">
    <cfRule type="expression" dxfId="207" priority="441" stopIfTrue="1">
      <formula>I69=$J$9</formula>
    </cfRule>
  </conditionalFormatting>
  <conditionalFormatting sqref="I71:AF71">
    <cfRule type="expression" dxfId="206" priority="442" stopIfTrue="1">
      <formula>I69=$J$9</formula>
    </cfRule>
  </conditionalFormatting>
  <conditionalFormatting sqref="I72:AF72">
    <cfRule type="expression" dxfId="205" priority="443" stopIfTrue="1">
      <formula>I69=$J$9</formula>
    </cfRule>
  </conditionalFormatting>
  <conditionalFormatting sqref="I73:AF73">
    <cfRule type="expression" dxfId="204" priority="444" stopIfTrue="1">
      <formula>I69=$J$9</formula>
    </cfRule>
  </conditionalFormatting>
  <conditionalFormatting sqref="I69:J69">
    <cfRule type="cellIs" dxfId="203" priority="438" stopIfTrue="1" operator="notEqual">
      <formula>1</formula>
    </cfRule>
  </conditionalFormatting>
  <conditionalFormatting sqref="H1:AF1">
    <cfRule type="expression" dxfId="202" priority="456" stopIfTrue="1">
      <formula>IF(OR(ACOMPANHAMENTO="BM",TIPOORCAMENTO="Proposto",H$12&gt;CÁLCULO.NúmeroDeFrentes),TRUE,PLE.ValorDoEvento=0)</formula>
    </cfRule>
    <cfRule type="cellIs" dxfId="201" priority="457" stopIfTrue="1" operator="equal">
      <formula>$J$9</formula>
    </cfRule>
  </conditionalFormatting>
  <conditionalFormatting sqref="AE6:AE7">
    <cfRule type="expression" dxfId="200" priority="445" stopIfTrue="1">
      <formula>TIPOORCAMENTO&lt;&gt;"Licitado"</formula>
    </cfRule>
  </conditionalFormatting>
  <conditionalFormatting sqref="N9:T9">
    <cfRule type="expression" dxfId="199" priority="446" stopIfTrue="1">
      <formula>COLUMN(N9)&gt;COLUMN($AF$12)</formula>
    </cfRule>
    <cfRule type="expression" dxfId="198" priority="447" stopIfTrue="1">
      <formula>$N$9="DIGITE A DATA DA MEDIÇÃO"</formula>
    </cfRule>
  </conditionalFormatting>
  <conditionalFormatting sqref="I9:M9 U9:AF9">
    <cfRule type="expression" dxfId="197" priority="448" stopIfTrue="1">
      <formula>COLUMN(I9)&gt;COLUMN($AF$12)</formula>
    </cfRule>
  </conditionalFormatting>
  <conditionalFormatting sqref="F16:F24">
    <cfRule type="expression" dxfId="196" priority="21" stopIfTrue="1">
      <formula>IF(OR(ACOMPANHAMENTO="BM",F$12&gt;CÁLCULO.NúmeroDeFrentes),TRUE,PLE.ValorDoEvento=0)</formula>
    </cfRule>
    <cfRule type="cellIs" dxfId="195" priority="22" stopIfTrue="1" operator="equal">
      <formula>$J$9</formula>
    </cfRule>
  </conditionalFormatting>
  <conditionalFormatting sqref="H16:AF24">
    <cfRule type="expression" dxfId="194" priority="23" stopIfTrue="1">
      <formula>IF(OR(ACOMPANHAMENTO="BM",TIPOORCAMENTO="Proposto",H$12&gt;CÁLCULO.NúmeroDeFrentes),TRUE,PLE.ValorDoEvento=0)</formula>
    </cfRule>
    <cfRule type="cellIs" dxfId="193" priority="24" stopIfTrue="1" operator="equal">
      <formula>$J$9</formula>
    </cfRule>
  </conditionalFormatting>
  <conditionalFormatting sqref="F25:F33">
    <cfRule type="expression" dxfId="192" priority="17" stopIfTrue="1">
      <formula>IF(OR(ACOMPANHAMENTO="BM",F$12&gt;CÁLCULO.NúmeroDeFrentes),TRUE,PLE.ValorDoEvento=0)</formula>
    </cfRule>
    <cfRule type="cellIs" dxfId="191" priority="18" stopIfTrue="1" operator="equal">
      <formula>$J$9</formula>
    </cfRule>
  </conditionalFormatting>
  <conditionalFormatting sqref="H25:AF33">
    <cfRule type="expression" dxfId="190" priority="19" stopIfTrue="1">
      <formula>IF(OR(ACOMPANHAMENTO="BM",TIPOORCAMENTO="Proposto",H$12&gt;CÁLCULO.NúmeroDeFrentes),TRUE,PLE.ValorDoEvento=0)</formula>
    </cfRule>
    <cfRule type="cellIs" dxfId="189" priority="20" stopIfTrue="1" operator="equal">
      <formula>$J$9</formula>
    </cfRule>
  </conditionalFormatting>
  <conditionalFormatting sqref="F34:F42">
    <cfRule type="expression" dxfId="188" priority="13" stopIfTrue="1">
      <formula>IF(OR(ACOMPANHAMENTO="BM",F$12&gt;CÁLCULO.NúmeroDeFrentes),TRUE,PLE.ValorDoEvento=0)</formula>
    </cfRule>
    <cfRule type="cellIs" dxfId="187" priority="14" stopIfTrue="1" operator="equal">
      <formula>$J$9</formula>
    </cfRule>
  </conditionalFormatting>
  <conditionalFormatting sqref="H34:AF42">
    <cfRule type="expression" dxfId="186" priority="15" stopIfTrue="1">
      <formula>IF(OR(ACOMPANHAMENTO="BM",TIPOORCAMENTO="Proposto",H$12&gt;CÁLCULO.NúmeroDeFrentes),TRUE,PLE.ValorDoEvento=0)</formula>
    </cfRule>
    <cfRule type="cellIs" dxfId="185" priority="16" stopIfTrue="1" operator="equal">
      <formula>$J$9</formula>
    </cfRule>
  </conditionalFormatting>
  <conditionalFormatting sqref="F43:F51">
    <cfRule type="expression" dxfId="184" priority="9" stopIfTrue="1">
      <formula>IF(OR(ACOMPANHAMENTO="BM",F$12&gt;CÁLCULO.NúmeroDeFrentes),TRUE,PLE.ValorDoEvento=0)</formula>
    </cfRule>
    <cfRule type="cellIs" dxfId="183" priority="10" stopIfTrue="1" operator="equal">
      <formula>$J$9</formula>
    </cfRule>
  </conditionalFormatting>
  <conditionalFormatting sqref="H43:AF51">
    <cfRule type="expression" dxfId="182" priority="11" stopIfTrue="1">
      <formula>IF(OR(ACOMPANHAMENTO="BM",TIPOORCAMENTO="Proposto",H$12&gt;CÁLCULO.NúmeroDeFrentes),TRUE,PLE.ValorDoEvento=0)</formula>
    </cfRule>
    <cfRule type="cellIs" dxfId="181" priority="12" stopIfTrue="1" operator="equal">
      <formula>$J$9</formula>
    </cfRule>
  </conditionalFormatting>
  <conditionalFormatting sqref="F52:F60">
    <cfRule type="expression" dxfId="180" priority="5" stopIfTrue="1">
      <formula>IF(OR(ACOMPANHAMENTO="BM",F$12&gt;CÁLCULO.NúmeroDeFrentes),TRUE,PLE.ValorDoEvento=0)</formula>
    </cfRule>
    <cfRule type="cellIs" dxfId="179" priority="6" stopIfTrue="1" operator="equal">
      <formula>$J$9</formula>
    </cfRule>
  </conditionalFormatting>
  <conditionalFormatting sqref="H52:AF60">
    <cfRule type="expression" dxfId="178" priority="7" stopIfTrue="1">
      <formula>IF(OR(ACOMPANHAMENTO="BM",TIPOORCAMENTO="Proposto",H$12&gt;CÁLCULO.NúmeroDeFrentes),TRUE,PLE.ValorDoEvento=0)</formula>
    </cfRule>
    <cfRule type="cellIs" dxfId="177" priority="8" stopIfTrue="1" operator="equal">
      <formula>$J$9</formula>
    </cfRule>
  </conditionalFormatting>
  <conditionalFormatting sqref="F61:F64">
    <cfRule type="expression" dxfId="176" priority="1" stopIfTrue="1">
      <formula>IF(OR(ACOMPANHAMENTO="BM",F$12&gt;CÁLCULO.NúmeroDeFrentes),TRUE,PLE.ValorDoEvento=0)</formula>
    </cfRule>
    <cfRule type="cellIs" dxfId="175" priority="2" stopIfTrue="1" operator="equal">
      <formula>$J$9</formula>
    </cfRule>
  </conditionalFormatting>
  <conditionalFormatting sqref="H61:AF64">
    <cfRule type="expression" dxfId="174" priority="3" stopIfTrue="1">
      <formula>IF(OR(ACOMPANHAMENTO="BM",TIPOORCAMENTO="Proposto",H$12&gt;CÁLCULO.NúmeroDeFrentes),TRUE,PLE.ValorDoEvento=0)</formula>
    </cfRule>
    <cfRule type="cellIs" dxfId="173" priority="4" stopIfTrue="1" operator="equal">
      <formula>$J$9</formula>
    </cfRule>
  </conditionalFormatting>
  <dataValidations count="3">
    <dataValidation type="whole" operator="greaterThan" allowBlank="1" showErrorMessage="1" sqref="F1:F4 I3:AC4 J9:K9 F16:F64">
      <formula1>0</formula1>
      <formula2>0</formula2>
    </dataValidation>
    <dataValidation allowBlank="1" showInputMessage="1" showErrorMessage="1" prompt="Digite a data de medição abaixo dos eventos." sqref="N9:T9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585" t="s">
        <v>146</v>
      </c>
      <c r="E3" s="585"/>
      <c r="F3" s="89" t="s">
        <v>443</v>
      </c>
      <c r="G3" s="585" t="s">
        <v>147</v>
      </c>
      <c r="H3" s="585"/>
      <c r="I3" s="585"/>
      <c r="J3" s="670" t="s">
        <v>306</v>
      </c>
      <c r="K3" s="670"/>
      <c r="L3" s="670"/>
      <c r="M3" s="671" t="s">
        <v>307</v>
      </c>
      <c r="N3" s="671"/>
      <c r="O3" s="671"/>
      <c r="Z3" s="104">
        <f ca="1">MAX(Z7:AB7)</f>
        <v>1</v>
      </c>
      <c r="AA3" s="314">
        <f ca="1">IF(OR($O$24=ORÇAMENTO.SumINVMANUAL+QCI.SumINVMANUAL,$O$24=0),0,MIN(MAX(0,($Z$3*$O$24-ORÇAMENTO.SumCPMANUAL-QCI.SumCPMANUAL)/($O$24-ORÇAMENTO.SumINVMANUAL-QCI.SumINVMANUAL)),1))</f>
        <v>1</v>
      </c>
      <c r="AB3" s="94"/>
    </row>
    <row r="4" spans="1:31" x14ac:dyDescent="0.2">
      <c r="D4" s="582">
        <f>Import.CR</f>
        <v>0</v>
      </c>
      <c r="E4" s="582"/>
      <c r="F4" s="57">
        <f>Import.TransfereGOV</f>
        <v>0</v>
      </c>
      <c r="G4" s="582" t="str">
        <f>Import.Proponente</f>
        <v>PREFEITURA MUNICIPAL</v>
      </c>
      <c r="H4" s="582"/>
      <c r="I4" s="582"/>
      <c r="J4" s="672" t="str">
        <f>Import.Município</f>
        <v>CÂNDIDO GODÓI</v>
      </c>
      <c r="K4" s="672"/>
      <c r="L4" s="672"/>
      <c r="M4" s="671"/>
      <c r="N4" s="671"/>
      <c r="O4" s="671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585" t="s">
        <v>202</v>
      </c>
      <c r="E6" s="585"/>
      <c r="F6" s="585"/>
      <c r="G6" s="585"/>
      <c r="H6" s="585"/>
      <c r="I6" s="585"/>
      <c r="J6" s="585"/>
      <c r="K6" s="585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611" t="s">
        <v>209</v>
      </c>
      <c r="D7" s="582" t="str">
        <f>Import.Apelido</f>
        <v>PAVIMENTAÇÃO ASFÁLTICA</v>
      </c>
      <c r="E7" s="582"/>
      <c r="F7" s="582"/>
      <c r="G7" s="582"/>
      <c r="H7" s="582"/>
      <c r="I7" s="582"/>
      <c r="J7" s="582"/>
      <c r="K7" s="582"/>
      <c r="L7" s="316" t="str">
        <f>import.recurso</f>
        <v>(SELECIONAR)</v>
      </c>
      <c r="M7" s="317">
        <f>Import.Repasse</f>
        <v>0</v>
      </c>
      <c r="N7" s="317">
        <f>Import.Contrapartida</f>
        <v>0</v>
      </c>
      <c r="O7" s="317">
        <f>M7+N7</f>
        <v>0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1</v>
      </c>
    </row>
    <row r="8" spans="1:31" x14ac:dyDescent="0.2">
      <c r="C8" s="611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611"/>
      <c r="G9" s="675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$119,-1,0)),2),"","ERRO: CONTRAPARTIDA MAIOR QUE A MÁXIMA","ERRO: CONTRAPARTIDA MENOR QUE A MÍNIMA","ERRO: SALDO NEGATIVO","ERRO: VALORES DE REPASSE NEGATIVOS","ERRO: NÚMERO DE LINHAS DO QCI INSUFICIENTE. CLIQUE NO BOTÃO ADICIONAR LINHAS")</f>
        <v>ERRO: SALDO NEGATIVO</v>
      </c>
      <c r="H9" s="675"/>
      <c r="I9" s="675"/>
      <c r="J9" s="675"/>
      <c r="K9" s="676" t="s">
        <v>313</v>
      </c>
      <c r="L9" s="319" t="str">
        <f>$L$13</f>
        <v>Repasse (R$)</v>
      </c>
      <c r="M9" s="319" t="s">
        <v>238</v>
      </c>
      <c r="AD9" s="673"/>
      <c r="AE9" s="673"/>
    </row>
    <row r="10" spans="1:31" ht="12.75" customHeight="1" x14ac:dyDescent="0.2">
      <c r="A10" s="677" t="s">
        <v>314</v>
      </c>
      <c r="C10" s="611"/>
      <c r="G10" s="675"/>
      <c r="H10" s="675"/>
      <c r="I10" s="675"/>
      <c r="J10" s="675"/>
      <c r="K10" s="676"/>
      <c r="L10" s="320">
        <f ca="1">Import.Repasse-L24</f>
        <v>0</v>
      </c>
      <c r="M10" s="321">
        <f ca="1">Import.Contrapartida-M24</f>
        <v>-1436876.3199999998</v>
      </c>
      <c r="Z10" s="624" t="s">
        <v>216</v>
      </c>
      <c r="AA10" s="624"/>
      <c r="AB10" s="624"/>
      <c r="AD10" s="673" t="s">
        <v>315</v>
      </c>
      <c r="AE10" s="673"/>
    </row>
    <row r="11" spans="1:31" ht="20.100000000000001" customHeight="1" x14ac:dyDescent="0.2">
      <c r="A11" s="677"/>
      <c r="C11" s="611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IF(NOT(ISBLANK(QCI.DescManual)),IF(QCI.Divisao="Calculado","Manual","SemiAuto"),IF(ISERROR(MATCH($A12,ORÇAMENTO!$E$15:$E$119,0)),"Branco","Automático"))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IF(OR($B12="Manual",$B12="SemiAuto"),QCI.DescManual,IF($B12="Automático",INDEX(ORÇAMENTO!$R$15:$R$119,MATCH($A12,ORÇAMENTO!$E$15:$E$119,0)),""))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IF($B12="Branco",0,IF(OR($B12="Manual",$B12="SemiAuto"),QCI.InvManual,INDEX(ORÇAMENTO!X$15:X$119,MATCH($A12,ORÇAMENTO!$E$15:$E$119,0))))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IF($B12="Branco",0,IF($B12="Manual",QCI.CPManual,IF($B12="SemiAuto",ROUND(QCI!$AA$3*QCI.InvManual,2),INDEX(ORÇAMENTO!$AA$15:$AA$119,MATCH($A12,ORÇAMENTO!$E$15:$E$119,0)))))</f>
        <v>0</v>
      </c>
      <c r="AB12">
        <f ca="1">IF($B12="Branco",0,IF($B12="Manual",QCI.OutrosManual,IF($B12="SemiAuto",0,INDEX(ORÇAMENTO!$AB$15:$AB$119,MATCH($A12,ORÇAMENTO!$E$15:$E$119,0)))))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ht="25.5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IF(NOT(ISBLANK(QCI.DescManual)),IF(QCI.Divisao="Calculado","Manual","SemiAuto"),IF(ISERROR(MATCH($A14,ORÇAMENTO!$E$15:$E$119,0)),"Branco","Automático"))</f>
        <v>Automático</v>
      </c>
      <c r="C14" t="str">
        <f t="shared" ref="C14:C22" ca="1" si="1">IF(O14&gt;0,"F","")</f>
        <v>F</v>
      </c>
      <c r="D14" s="322">
        <f t="shared" ref="D14:D22" si="2">ROW()-ROW($D$13)</f>
        <v>1</v>
      </c>
      <c r="E14" s="120"/>
      <c r="F14" s="120"/>
      <c r="G14" s="172" t="str">
        <f ca="1">IF(OR($B14="Manual",$B14="SemiAuto"),QCI.DescManual,IF($B14="Automático",INDEX(ORÇAMENTO!$R$15:$R$119,MATCH($A14,ORÇAMENTO!$E$15:$E$119,0)),""))</f>
        <v>TRECHO 01 - Rua João XXIII e Loureiro da Silva</v>
      </c>
      <c r="H14" s="120"/>
      <c r="I14" s="557"/>
      <c r="J14" s="323" t="str">
        <f ca="1">IF(AND(ISBLANK(E14),ISBLANK(F14)),"",VLOOKUP($F14,OFFSET(DADOS!$A$2,1,MATCH(QCI!$E14,DADOS!$2:$2,0)-1,100,50),2,FALSE))</f>
        <v/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570193.64</v>
      </c>
      <c r="N14" s="326">
        <f t="shared" ref="N14:N22" ca="1" si="5">ROUND($AB14,2)</f>
        <v>0</v>
      </c>
      <c r="O14" s="327">
        <f ca="1">IF($B14="Branco",0,IF(OR($B14="Manual",$B14="SemiAuto"),QCI.InvManual,INDEX(ORÇAMENTO!X$15:X$119,MATCH($A14,ORÇAMENTO!$E$15:$E$119,0))))</f>
        <v>570193.64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570193.64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IF($B14="Branco",0,IF($B14="Manual",QCI.CPManual,IF($B14="SemiAuto",ROUND(QCI!$AA$3*QCI.InvManual,2),INDEX(ORÇAMENTO!$AA$15:$AA$119,MATCH($A14,ORÇAMENTO!$E$15:$E$119,0)))))</f>
        <v>570193.64</v>
      </c>
      <c r="AB14">
        <f ca="1">IF($B14="Branco",0,IF($B14="Manual",QCI.OutrosManual,IF($B14="SemiAuto",0,INDEX(ORÇAMENTO!$AB$15:$AB$119,MATCH($A14,ORÇAMENTO!$E$15:$E$119,0)))))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ht="25.5" x14ac:dyDescent="0.2">
      <c r="A15">
        <f t="shared" ca="1" si="0"/>
        <v>2</v>
      </c>
      <c r="B15" t="str">
        <f ca="1">IF(NOT(ISBLANK(QCI.DescManual)),IF(QCI.Divisao="Calculado","Manual","SemiAuto"),IF(ISERROR(MATCH($A15,ORÇAMENTO!$E$15:$E$119,0)),"Branco","Automático"))</f>
        <v>Automático</v>
      </c>
      <c r="C15" t="str">
        <f t="shared" ca="1" si="1"/>
        <v>F</v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IF(OR($B15="Manual",$B15="SemiAuto"),QCI.DescManual,IF($B15="Automático",INDEX(ORÇAMENTO!$R$15:$R$119,MATCH($A15,ORÇAMENTO!$E$15:$E$119,0)),""))</f>
        <v>TRECHO 2 - Rua Presidente Castelo Branco e Travessa Dom Pedro II</v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>LOTE 1</v>
      </c>
      <c r="L15" s="324">
        <f t="shared" ca="1" si="3"/>
        <v>0</v>
      </c>
      <c r="M15" s="325">
        <f t="shared" ca="1" si="4"/>
        <v>492496.24</v>
      </c>
      <c r="N15" s="326">
        <f t="shared" ca="1" si="5"/>
        <v>0</v>
      </c>
      <c r="O15" s="327">
        <f ca="1">IF($B15="Branco",0,IF(OR($B15="Manual",$B15="SemiAuto"),QCI.InvManual,INDEX(ORÇAMENTO!X$15:X$119,MATCH($A15,ORÇAMENTO!$E$15:$E$119,0))))</f>
        <v>492496.24</v>
      </c>
      <c r="P15" s="532"/>
      <c r="R15" s="558"/>
      <c r="T15" s="559"/>
      <c r="U15" s="329"/>
      <c r="V15" s="560" t="s">
        <v>317</v>
      </c>
      <c r="W15" s="330">
        <f t="shared" ca="1" si="6"/>
        <v>492496.24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IF($B15="Branco",0,IF($B15="Manual",QCI.CPManual,IF($B15="SemiAuto",ROUND(QCI!$AA$3*QCI.InvManual,2),INDEX(ORÇAMENTO!$AA$15:$AA$119,MATCH($A15,ORÇAMENTO!$E$15:$E$119,0)))))</f>
        <v>492496.24</v>
      </c>
      <c r="AB15">
        <f ca="1">IF($B15="Branco",0,IF($B15="Manual",QCI.OutrosManual,IF($B15="SemiAuto",0,INDEX(ORÇAMENTO!$AB$15:$AB$119,MATCH($A15,ORÇAMENTO!$E$15:$E$119,0)))))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ht="25.5" x14ac:dyDescent="0.2">
      <c r="A16">
        <f t="shared" ca="1" si="0"/>
        <v>3</v>
      </c>
      <c r="B16" t="str">
        <f ca="1">IF(NOT(ISBLANK(QCI.DescManual)),IF(QCI.Divisao="Calculado","Manual","SemiAuto"),IF(ISERROR(MATCH($A16,ORÇAMENTO!$E$15:$E$119,0)),"Branco","Automático"))</f>
        <v>Automático</v>
      </c>
      <c r="C16" t="str">
        <f t="shared" ca="1" si="1"/>
        <v>F</v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IF(OR($B16="Manual",$B16="SemiAuto"),QCI.DescManual,IF($B16="Automático",INDEX(ORÇAMENTO!$R$15:$R$119,MATCH($A16,ORÇAMENTO!$E$15:$E$119,0)),""))</f>
        <v>TRECHO 03 - Rua Presidente Castelo Branco</v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>LOTE 1</v>
      </c>
      <c r="L16" s="324">
        <f t="shared" ca="1" si="3"/>
        <v>0</v>
      </c>
      <c r="M16" s="325">
        <f t="shared" ca="1" si="4"/>
        <v>374186.44</v>
      </c>
      <c r="N16" s="326">
        <f t="shared" ca="1" si="5"/>
        <v>0</v>
      </c>
      <c r="O16" s="327">
        <f ca="1">IF($B16="Branco",0,IF(OR($B16="Manual",$B16="SemiAuto"),QCI.InvManual,INDEX(ORÇAMENTO!X$15:X$119,MATCH($A16,ORÇAMENTO!$E$15:$E$119,0))))</f>
        <v>374186.44</v>
      </c>
      <c r="P16" s="532"/>
      <c r="R16" s="558"/>
      <c r="T16" s="559"/>
      <c r="U16" s="329"/>
      <c r="V16" s="560" t="s">
        <v>317</v>
      </c>
      <c r="W16" s="330">
        <f t="shared" ca="1" si="6"/>
        <v>374186.44</v>
      </c>
      <c r="X16" s="331">
        <v>0</v>
      </c>
      <c r="Z16">
        <f t="shared" ca="1" si="7"/>
        <v>5.8207660913467407E-11</v>
      </c>
      <c r="AA16">
        <f ca="1">IF($B16="Branco",0,IF($B16="Manual",QCI.CPManual,IF($B16="SemiAuto",ROUND(QCI!$AA$3*QCI.InvManual,2),INDEX(ORÇAMENTO!$AA$15:$AA$119,MATCH($A16,ORÇAMENTO!$E$15:$E$119,0)))))</f>
        <v>374186.43999999994</v>
      </c>
      <c r="AB16">
        <f ca="1">IF($B16="Branco",0,IF($B16="Manual",QCI.OutrosManual,IF($B16="SemiAuto",0,INDEX(ORÇAMENTO!$AB$15:$AB$119,MATCH($A16,ORÇAMENTO!$E$15:$E$119,0)))))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IF(NOT(ISBLANK(QCI.DescManual)),IF(QCI.Divisao="Calculado","Manual","SemiAuto"),IF(ISERROR(MATCH($A17,ORÇAMENTO!$E$15:$E$119,0)),"Branco","Automático"))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IF(OR($B17="Manual",$B17="SemiAuto"),QCI.DescManual,IF($B17="Automático",INDEX(ORÇAMENTO!$R$15:$R$119,MATCH($A17,ORÇAMENTO!$E$15:$E$119,0)),""))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IF($B17="Branco",0,IF(OR($B17="Manual",$B17="SemiAuto"),QCI.InvManual,INDEX(ORÇAMENTO!X$15:X$119,MATCH($A17,ORÇAMENTO!$E$15:$E$119,0))))</f>
        <v>0</v>
      </c>
      <c r="P17" s="532"/>
      <c r="R17" s="558"/>
      <c r="T17" s="559"/>
      <c r="U17" s="329"/>
      <c r="V17" s="560" t="s">
        <v>317</v>
      </c>
      <c r="W17" s="330">
        <f t="shared" ca="1" si="6"/>
        <v>0</v>
      </c>
      <c r="X17" s="331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IF($B17="Branco",0,IF($B17="Manual",QCI.CPManual,IF($B17="SemiAuto",ROUND(QCI!$AA$3*QCI.InvManual,2),INDEX(ORÇAMENTO!$AA$15:$AA$119,MATCH($A17,ORÇAMENTO!$E$15:$E$119,0)))))</f>
        <v>0</v>
      </c>
      <c r="AB17">
        <f ca="1">IF($B17="Branco",0,IF($B17="Manual",QCI.OutrosManual,IF($B17="SemiAuto",0,INDEX(ORÇAMENTO!$AB$15:$AB$119,MATCH($A17,ORÇAMENTO!$E$15:$E$119,0)))))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IF(NOT(ISBLANK(QCI.DescManual)),IF(QCI.Divisao="Calculado","Manual","SemiAuto"),IF(ISERROR(MATCH($A18,ORÇAMENTO!$E$15:$E$119,0)),"Branco","Automático"))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IF(OR($B18="Manual",$B18="SemiAuto"),QCI.DescManual,IF($B18="Automático",INDEX(ORÇAMENTO!$R$15:$R$119,MATCH($A18,ORÇAMENTO!$E$15:$E$119,0)),""))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IF($B18="Branco",0,IF(OR($B18="Manual",$B18="SemiAuto"),QCI.InvManual,INDEX(ORÇAMENTO!X$15:X$119,MATCH($A18,ORÇAMENTO!$E$15:$E$119,0))))</f>
        <v>0</v>
      </c>
      <c r="P18" s="532"/>
      <c r="R18" s="558"/>
      <c r="T18" s="559"/>
      <c r="U18" s="329"/>
      <c r="V18" s="560" t="s">
        <v>317</v>
      </c>
      <c r="W18" s="330">
        <f t="shared" ca="1" si="6"/>
        <v>0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IF($B18="Branco",0,IF($B18="Manual",QCI.CPManual,IF($B18="SemiAuto",ROUND(QCI!$AA$3*QCI.InvManual,2),INDEX(ORÇAMENTO!$AA$15:$AA$119,MATCH($A18,ORÇAMENTO!$E$15:$E$119,0)))))</f>
        <v>0</v>
      </c>
      <c r="AB18">
        <f ca="1">IF($B18="Branco",0,IF($B18="Manual",QCI.OutrosManual,IF($B18="SemiAuto",0,INDEX(ORÇAMENTO!$AB$15:$AB$119,MATCH($A18,ORÇAMENTO!$E$15:$E$119,0)))))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IF(NOT(ISBLANK(QCI.DescManual)),IF(QCI.Divisao="Calculado","Manual","SemiAuto"),IF(ISERROR(MATCH($A19,ORÇAMENTO!$E$15:$E$119,0)),"Branco","Automático"))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IF(OR($B19="Manual",$B19="SemiAuto"),QCI.DescManual,IF($B19="Automático",INDEX(ORÇAMENTO!$R$15:$R$119,MATCH($A19,ORÇAMENTO!$E$15:$E$119,0)),""))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IF($B19="Branco",0,IF(OR($B19="Manual",$B19="SemiAuto"),QCI.InvManual,INDEX(ORÇAMENTO!X$15:X$119,MATCH($A19,ORÇAMENTO!$E$15:$E$119,0))))</f>
        <v>0</v>
      </c>
      <c r="P19" s="532"/>
      <c r="R19" s="558"/>
      <c r="T19" s="559"/>
      <c r="U19" s="329"/>
      <c r="V19" s="560" t="s">
        <v>317</v>
      </c>
      <c r="W19" s="330">
        <f t="shared" ca="1" si="6"/>
        <v>0</v>
      </c>
      <c r="X19" s="331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IF($B19="Branco",0,IF($B19="Manual",QCI.CPManual,IF($B19="SemiAuto",ROUND(QCI!$AA$3*QCI.InvManual,2),INDEX(ORÇAMENTO!$AA$15:$AA$119,MATCH($A19,ORÇAMENTO!$E$15:$E$119,0)))))</f>
        <v>0</v>
      </c>
      <c r="AB19">
        <f ca="1">IF($B19="Branco",0,IF($B19="Manual",QCI.OutrosManual,IF($B19="SemiAuto",0,INDEX(ORÇAMENTO!$AB$15:$AB$119,MATCH($A19,ORÇAMENTO!$E$15:$E$119,0)))))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IF(NOT(ISBLANK(QCI.DescManual)),IF(QCI.Divisao="Calculado","Manual","SemiAuto"),IF(ISERROR(MATCH($A20,ORÇAMENTO!$E$15:$E$119,0)),"Branco","Automático"))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IF(OR($B20="Manual",$B20="SemiAuto"),QCI.DescManual,IF($B20="Automático",INDEX(ORÇAMENTO!$R$15:$R$119,MATCH($A20,ORÇAMENTO!$E$15:$E$119,0)),""))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IF($B20="Branco",0,IF(OR($B20="Manual",$B20="SemiAuto"),QCI.InvManual,INDEX(ORÇAMENTO!X$15:X$119,MATCH($A20,ORÇAMENTO!$E$15:$E$119,0))))</f>
        <v>0</v>
      </c>
      <c r="P20" s="532"/>
      <c r="R20" s="558"/>
      <c r="T20" s="559"/>
      <c r="U20" s="329"/>
      <c r="V20" s="560" t="s">
        <v>317</v>
      </c>
      <c r="W20" s="330">
        <f t="shared" ca="1" si="6"/>
        <v>0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IF($B20="Branco",0,IF($B20="Manual",QCI.CPManual,IF($B20="SemiAuto",ROUND(QCI!$AA$3*QCI.InvManual,2),INDEX(ORÇAMENTO!$AA$15:$AA$119,MATCH($A20,ORÇAMENTO!$E$15:$E$119,0)))))</f>
        <v>0</v>
      </c>
      <c r="AB20">
        <f ca="1">IF($B20="Branco",0,IF($B20="Manual",QCI.OutrosManual,IF($B20="SemiAuto",0,INDEX(ORÇAMENTO!$AB$15:$AB$119,MATCH($A20,ORÇAMENTO!$E$15:$E$119,0)))))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IF(NOT(ISBLANK(QCI.DescManual)),IF(QCI.Divisao="Calculado","Manual","SemiAuto"),IF(ISERROR(MATCH($A21,ORÇAMENTO!$E$15:$E$119,0)),"Branco","Automático"))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IF(OR($B21="Manual",$B21="SemiAuto"),QCI.DescManual,IF($B21="Automático",INDEX(ORÇAMENTO!$R$15:$R$119,MATCH($A21,ORÇAMENTO!$E$15:$E$119,0)),""))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IF($B21="Branco",0,IF(OR($B21="Manual",$B21="SemiAuto"),QCI.InvManual,INDEX(ORÇAMENTO!X$15:X$119,MATCH($A21,ORÇAMENTO!$E$15:$E$119,0))))</f>
        <v>0</v>
      </c>
      <c r="P21" s="532"/>
      <c r="R21" s="558"/>
      <c r="T21" s="559"/>
      <c r="U21" s="329"/>
      <c r="V21" s="560" t="s">
        <v>317</v>
      </c>
      <c r="W21" s="330">
        <f t="shared" ca="1" si="6"/>
        <v>0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IF($B21="Branco",0,IF($B21="Manual",QCI.CPManual,IF($B21="SemiAuto",ROUND(QCI!$AA$3*QCI.InvManual,2),INDEX(ORÇAMENTO!$AA$15:$AA$119,MATCH($A21,ORÇAMENTO!$E$15:$E$119,0)))))</f>
        <v>0</v>
      </c>
      <c r="AB21">
        <f ca="1">IF($B21="Branco",0,IF($B21="Manual",QCI.OutrosManual,IF($B21="SemiAuto",0,INDEX(ORÇAMENTO!$AB$15:$AB$119,MATCH($A21,ORÇAMENTO!$E$15:$E$119,0)))))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IF(NOT(ISBLANK(QCI.DescManual)),IF(QCI.Divisao="Calculado","Manual","SemiAuto"),IF(ISERROR(MATCH($A22,ORÇAMENTO!$E$15:$E$119,0)),"Branco","Automático"))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IF(OR($B22="Manual",$B22="SemiAuto"),QCI.DescManual,IF($B22="Automático",INDEX(ORÇAMENTO!$R$15:$R$119,MATCH($A22,ORÇAMENTO!$E$15:$E$119,0)),""))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IF($B22="Branco",0,IF(OR($B22="Manual",$B22="SemiAuto"),QCI.InvManual,INDEX(ORÇAMENTO!X$15:X$119,MATCH($A22,ORÇAMENTO!$E$15:$E$119,0))))</f>
        <v>0</v>
      </c>
      <c r="P22" s="532"/>
      <c r="R22" s="558"/>
      <c r="T22" s="559"/>
      <c r="U22" s="329"/>
      <c r="V22" s="560" t="s">
        <v>317</v>
      </c>
      <c r="W22" s="330">
        <f t="shared" ca="1" si="6"/>
        <v>0</v>
      </c>
      <c r="X22" s="331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IF($B22="Branco",0,IF($B22="Manual",QCI.CPManual,IF($B22="SemiAuto",ROUND(QCI!$AA$3*QCI.InvManual,2),INDEX(ORÇAMENTO!$AA$15:$AA$119,MATCH($A22,ORÇAMENTO!$E$15:$E$119,0)))))</f>
        <v>0</v>
      </c>
      <c r="AB22">
        <f ca="1">IF($B22="Branco",0,IF($B22="Manual",QCI.OutrosManual,IF($B22="SemiAuto",0,INDEX(ORÇAMENTO!$AB$15:$AB$119,MATCH($A22,ORÇAMENTO!$E$15:$E$119,0)))))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IF(NOT(ISBLANK(QCI.DescManual)),IF(QCI.Divisao="Calculado","Manual","SemiAuto"),IF(ISERROR(MATCH($A23,ORÇAMENTO!$E$15:$E$119,0)),"Branco","Automático"))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IF(OR($B23="Manual",$B23="SemiAuto"),QCI.DescManual,IF($B23="Automático",INDEX(ORÇAMENTO!$R$15:$R$119,MATCH($A23,ORÇAMENTO!$E$15:$E$119,0)),""))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IF($B23="Branco",0,IF(OR($B23="Manual",$B23="SemiAuto"),QCI.InvManual,INDEX(ORÇAMENTO!X$15:X$119,MATCH($A23,ORÇAMENTO!$E$15:$E$119,0))))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IF($B23="Branco",0,IF($B23="Manual",QCI.CPManual,IF($B23="SemiAuto",ROUND(QCI!$AA$3*QCI.InvManual,2),INDEX(ORÇAMENTO!$AA$15:$AA$119,MATCH($A23,ORÇAMENTO!$E$15:$E$119,0)))))</f>
        <v>0</v>
      </c>
      <c r="AB23">
        <f ca="1">IF($B23="Branco",0,IF($B23="Manual",QCI.OutrosManual,IF($B23="SemiAuto",0,INDEX(ORÇAMENTO!$AB$15:$AB$119,MATCH($A23,ORÇAMENTO!$E$15:$E$119,0)))))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4" t="s">
        <v>328</v>
      </c>
      <c r="L24" s="341">
        <f ca="1">SUM(L13:OFFSET(L24,-1,0))</f>
        <v>0</v>
      </c>
      <c r="M24" s="342">
        <f ca="1">SUM(M13:OFFSET(M24,-1,0))</f>
        <v>1436876.3199999998</v>
      </c>
      <c r="N24" s="343">
        <f ca="1">SUM(N13:OFFSET(N24,-1,0))</f>
        <v>0</v>
      </c>
      <c r="O24" s="344">
        <f ca="1">SUM(O13:OFFSET(O24,-1,0))</f>
        <v>1436876.3199999998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1436876.3199999998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4"/>
      <c r="L25" s="353">
        <f ca="1">IF(ISERROR(L24/$O24),0,ROUND(L24/$O24,4))</f>
        <v>0</v>
      </c>
      <c r="M25" s="354">
        <f ca="1">IF(ISERROR(M24/$O24),0,ROUND(M24/$O24,4))</f>
        <v>1</v>
      </c>
      <c r="N25" s="355">
        <f ca="1">IF(ISERROR(N24/$O24),0,ROUND(N24/$O24,4))</f>
        <v>0</v>
      </c>
      <c r="O25" s="356">
        <f ca="1">IF(ISERROR(O24/$O24),0,ROUND(O24/$O24,4))</f>
        <v>1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15"/>
      <c r="E28" s="615"/>
      <c r="F28" s="615"/>
      <c r="G28" s="615"/>
      <c r="H28" s="615"/>
      <c r="I28" s="615"/>
      <c r="J28" s="615"/>
      <c r="K28" s="615"/>
      <c r="L28" s="615"/>
      <c r="M28" s="615"/>
      <c r="N28" s="615"/>
      <c r="O28" s="615"/>
    </row>
    <row r="29" spans="1:31" ht="12.75" customHeight="1" x14ac:dyDescent="0.2"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615"/>
      <c r="O29" s="615"/>
    </row>
    <row r="30" spans="1:31" ht="12.75" customHeight="1" x14ac:dyDescent="0.2">
      <c r="D30" s="615"/>
      <c r="E30" s="615"/>
      <c r="F30" s="615"/>
      <c r="G30" s="615"/>
      <c r="H30" s="615"/>
      <c r="I30" s="615"/>
      <c r="J30" s="615"/>
      <c r="K30" s="615"/>
      <c r="L30" s="615"/>
      <c r="M30" s="615"/>
      <c r="N30" s="615"/>
      <c r="O30" s="615"/>
    </row>
    <row r="33" spans="4:12" ht="15" x14ac:dyDescent="0.2">
      <c r="D33" s="617" t="str">
        <f>Import.Município</f>
        <v>CÂNDIDO GODÓI</v>
      </c>
      <c r="E33" s="617"/>
      <c r="F33" s="617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" " &amp; DADOS!F28</f>
        <v>Nome: GUERINO BACKES</v>
      </c>
    </row>
    <row r="36" spans="4:12" x14ac:dyDescent="0.2">
      <c r="D36" s="612">
        <f ca="1">DADOS!$F$25</f>
        <v>46037</v>
      </c>
      <c r="E36" s="612"/>
      <c r="F36" s="612"/>
      <c r="I36" s="78" t="str">
        <f>"Cargo:" &amp; " " &amp; DADOS!F29</f>
        <v>Cargo: PREFEITO MUNICIPAL</v>
      </c>
    </row>
    <row r="37" spans="4:12" x14ac:dyDescent="0.2">
      <c r="D37" s="146" t="s">
        <v>189</v>
      </c>
      <c r="E37" s="1"/>
      <c r="F37" s="1"/>
      <c r="K37" s="78"/>
      <c r="L37" s="79"/>
    </row>
  </sheetData>
  <autoFilter ref="C13:C25"/>
  <mergeCells count="20">
    <mergeCell ref="D6:K6"/>
    <mergeCell ref="A10:A11"/>
    <mergeCell ref="Z10:AB10"/>
    <mergeCell ref="D36:F36"/>
    <mergeCell ref="D28:O30"/>
    <mergeCell ref="D33:F33"/>
    <mergeCell ref="AD10:AE10"/>
    <mergeCell ref="K24:K25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8" type="noConversion"/>
  <conditionalFormatting sqref="T12:V12">
    <cfRule type="expression" dxfId="172" priority="157" stopIfTrue="1">
      <formula>OR($B12="Automático",$B12="Branco")</formula>
    </cfRule>
  </conditionalFormatting>
  <conditionalFormatting sqref="L12">
    <cfRule type="expression" dxfId="171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170" priority="159" stopIfTrue="1">
      <formula>OR($B12="Automático",$B12="Branco",$V12&lt;&gt;"Calculado")</formula>
    </cfRule>
  </conditionalFormatting>
  <conditionalFormatting sqref="M25">
    <cfRule type="expression" dxfId="169" priority="161" stopIfTrue="1">
      <formula>AND($G$9&lt;&gt;"",OR($M$25&lt;Import.CPMinPerc,$M$25&gt;Import.CPMaxPerc))</formula>
    </cfRule>
  </conditionalFormatting>
  <conditionalFormatting sqref="M24">
    <cfRule type="expression" dxfId="168" priority="162" stopIfTrue="1">
      <formula>AND($G$9&lt;&gt;"",$M$24&lt;Import.CPMinAbsoluta)</formula>
    </cfRule>
  </conditionalFormatting>
  <conditionalFormatting sqref="L10:M10">
    <cfRule type="cellIs" dxfId="167" priority="163" stopIfTrue="1" operator="lessThan">
      <formula>0</formula>
    </cfRule>
  </conditionalFormatting>
  <conditionalFormatting sqref="G12">
    <cfRule type="cellIs" dxfId="166" priority="164" stopIfTrue="1" operator="equal">
      <formula>"(digite a descrição aqui)"</formula>
    </cfRule>
  </conditionalFormatting>
  <conditionalFormatting sqref="T14:V22">
    <cfRule type="expression" dxfId="165" priority="5" stopIfTrue="1">
      <formula>OR($B14="Automático",$B14="Branco")</formula>
    </cfRule>
  </conditionalFormatting>
  <conditionalFormatting sqref="L14:L22">
    <cfRule type="expression" dxfId="16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163" priority="7" stopIfTrue="1">
      <formula>OR($B14="Automático",$B14="Branco",$V14&lt;&gt;"Calculado")</formula>
    </cfRule>
  </conditionalFormatting>
  <conditionalFormatting sqref="G14:G22">
    <cfRule type="cellIs" dxfId="162" priority="8" stopIfTrue="1" operator="equal">
      <formula>"(digite a descrição aqui)"</formula>
    </cfRule>
  </conditionalFormatting>
  <conditionalFormatting sqref="T23:V23">
    <cfRule type="expression" dxfId="161" priority="1" stopIfTrue="1">
      <formula>OR($B23="Automático",$B23="Branco")</formula>
    </cfRule>
  </conditionalFormatting>
  <conditionalFormatting sqref="L23">
    <cfRule type="expression" dxfId="16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159" priority="3" stopIfTrue="1">
      <formula>OR($B23="Automático",$B23="Branco",$V23&lt;&gt;"Calculado")</formula>
    </cfRule>
  </conditionalFormatting>
  <conditionalFormatting sqref="G23">
    <cfRule type="cellIs" dxfId="15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>
      <formula1>0</formula1>
      <formula2>0</formula2>
    </dataValidation>
    <dataValidation type="list" allowBlank="1" sqref="E12 E14:E23">
      <formula1>QCI.ItemInvestimento</formula1>
      <formula2>0</formula2>
    </dataValidation>
    <dataValidation type="list" allowBlank="1" sqref="F12 F14:F23">
      <formula1>QCI.SubItemInvestimento</formula1>
      <formula2>0</formula2>
    </dataValidation>
    <dataValidation type="list" allowBlank="1" sqref="H12 H14:H23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>
      <formula1>0</formula1>
      <formula2>0</formula2>
    </dataValidation>
    <dataValidation type="list" allowBlank="1" showErrorMessage="1" sqref="V12 V14:V23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>
      <formula1>0</formula1>
      <formula2>QCI.MaxOUManual</formula2>
    </dataValidation>
    <dataValidation allowBlank="1" showInputMessage="1" showErrorMessage="1" prompt="Preencha somente se a meta não fizer parte do Orçamento desta Plan. Mult." sqref="R12 R14:R23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3">
    <pageSetUpPr fitToPage="1"/>
  </sheetPr>
  <dimension ref="A1:AO134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94" sqref="A94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EMPREITADA POR PREÇO GLOBAL - (SELECIONAR)</v>
      </c>
      <c r="O2" s="12" t="s">
        <v>143</v>
      </c>
    </row>
    <row r="3" spans="1:41" x14ac:dyDescent="0.2">
      <c r="A3" s="678" t="b">
        <v>0</v>
      </c>
      <c r="B3" s="678"/>
      <c r="E3" s="87"/>
    </row>
    <row r="4" spans="1:41" x14ac:dyDescent="0.2">
      <c r="D4" s="585" t="s">
        <v>147</v>
      </c>
      <c r="E4" s="585"/>
      <c r="F4" s="622" t="s">
        <v>146</v>
      </c>
      <c r="G4" s="622"/>
      <c r="H4" s="622"/>
      <c r="I4" s="151" t="s">
        <v>443</v>
      </c>
      <c r="J4" s="585" t="s">
        <v>202</v>
      </c>
      <c r="K4" s="585"/>
      <c r="L4" s="585"/>
      <c r="M4" s="585"/>
      <c r="N4" s="585"/>
      <c r="O4" s="153" t="s">
        <v>332</v>
      </c>
    </row>
    <row r="5" spans="1:41" ht="12.75" customHeight="1" x14ac:dyDescent="0.2">
      <c r="A5" t="s">
        <v>333</v>
      </c>
      <c r="D5" s="582" t="str">
        <f>Import.Proponente</f>
        <v>PREFEITURA MUNICIPAL</v>
      </c>
      <c r="E5" s="582"/>
      <c r="F5" s="620">
        <f>Import.CR</f>
        <v>0</v>
      </c>
      <c r="G5" s="620"/>
      <c r="H5" s="620"/>
      <c r="I5" s="367">
        <f>Import.TransfereGOV</f>
        <v>0</v>
      </c>
      <c r="J5" s="582" t="str">
        <f>Import.Apelido</f>
        <v>PAVIMENTAÇÃO ASFÁLTICA</v>
      </c>
      <c r="K5" s="582"/>
      <c r="L5" s="582"/>
      <c r="M5" s="582"/>
      <c r="N5" s="582"/>
      <c r="O5" s="368">
        <f>Import.DataInicioObra</f>
        <v>45717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Global</v>
      </c>
      <c r="D7" s="89" t="s">
        <v>335</v>
      </c>
      <c r="E7" s="89" t="s">
        <v>336</v>
      </c>
      <c r="F7" s="585" t="s">
        <v>337</v>
      </c>
      <c r="G7" s="585"/>
      <c r="H7" s="585"/>
      <c r="I7" s="585" t="str">
        <f>IF(TIPOORCAMENTO="Licitado","REGIME DE EXECUÇÃO","MUNICÍPIO / UF")</f>
        <v>MUNICÍPIO / UF</v>
      </c>
      <c r="J7" s="585"/>
      <c r="K7" s="585"/>
      <c r="L7" s="585"/>
      <c r="M7" s="585" t="s">
        <v>338</v>
      </c>
      <c r="N7" s="585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611" t="s">
        <v>209</v>
      </c>
      <c r="D8" s="371">
        <f>Import.CTEF</f>
        <v>0</v>
      </c>
      <c r="E8" s="57">
        <f>Import.empresa</f>
        <v>0</v>
      </c>
      <c r="F8" s="582">
        <f>Import.CNPJ</f>
        <v>0</v>
      </c>
      <c r="G8" s="582"/>
      <c r="H8" s="582"/>
      <c r="I8" s="582" t="str">
        <f>IF(TIPOORCAMENTO="Licitado",Import.RegimeExecução,Import.Município)</f>
        <v>CÂNDIDO GODÓI</v>
      </c>
      <c r="J8" s="582"/>
      <c r="K8" s="582"/>
      <c r="L8" s="582"/>
      <c r="M8" s="582" t="str">
        <f ca="1">TEXT(IF(BM.medicao=1,Import.DataInicioObra,OFFSET($AB$12,0,BM.medicao-1-$AB$13)+1),"dd/mm/aaaa")&amp;" a "&amp;TEXT(OFFSET($AB$12,0,BM.medicao-$AB$13),"dd/mm/aaaa")</f>
        <v>01/03/2025 a 00/01/1900</v>
      </c>
      <c r="N8" s="582"/>
      <c r="O8" s="490">
        <v>1</v>
      </c>
    </row>
    <row r="9" spans="1:41" ht="12.75" customHeight="1" x14ac:dyDescent="0.2">
      <c r="A9" s="531" t="b">
        <v>1</v>
      </c>
      <c r="B9" s="43"/>
      <c r="C9" s="611"/>
    </row>
    <row r="10" spans="1:41" x14ac:dyDescent="0.2">
      <c r="C10" s="611"/>
      <c r="E10" s="679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679"/>
      <c r="G10" s="679"/>
      <c r="H10" s="679"/>
      <c r="I10" s="679"/>
      <c r="N10" s="680" t="str">
        <f ca="1">"Realizado Acumulado: "&amp;TEXT(ROUND($O$15/($I$15+10^-12),4),"0,00%")</f>
        <v>Realizado Acumulado: 0,00%</v>
      </c>
      <c r="O10" s="680"/>
    </row>
    <row r="11" spans="1:41" ht="15" customHeight="1" x14ac:dyDescent="0.25">
      <c r="C11" s="611"/>
      <c r="E11" s="679"/>
      <c r="F11" s="679"/>
      <c r="G11" s="679"/>
      <c r="H11" s="679"/>
      <c r="I11" s="679"/>
      <c r="N11" s="680"/>
      <c r="O11" s="680"/>
      <c r="T11" s="681" t="s">
        <v>341</v>
      </c>
      <c r="U11" s="681"/>
      <c r="Z11" s="4"/>
      <c r="AB11" s="654" t="s">
        <v>342</v>
      </c>
      <c r="AC11" s="654"/>
      <c r="AD11" s="654"/>
      <c r="AE11" s="654"/>
      <c r="AF11" s="654"/>
      <c r="AG11" s="654"/>
      <c r="AH11" s="654"/>
      <c r="AI11" s="654"/>
      <c r="AJ11" s="654"/>
      <c r="AK11" s="654"/>
      <c r="AL11" s="654"/>
      <c r="AM11" s="654"/>
    </row>
    <row r="12" spans="1:41" ht="15" customHeight="1" x14ac:dyDescent="0.25">
      <c r="C12" s="611"/>
      <c r="E12" s="85" t="s">
        <v>343</v>
      </c>
      <c r="J12" s="584" t="str">
        <f ca="1">"Evolução Física "&amp;CHOOSE(MATCH(RegimeExecucao,{"Unitário","Global"},0),"(Qtde.)","(%)")</f>
        <v>Evolução Física (%)</v>
      </c>
      <c r="K12" s="584"/>
      <c r="L12" s="584"/>
      <c r="M12" s="584" t="s">
        <v>344</v>
      </c>
      <c r="N12" s="584"/>
      <c r="O12" s="584"/>
      <c r="Q12" s="584" t="str">
        <f ca="1">"Aferido (CAIXA) "&amp;CHOOSE(MATCH(RegimeExecucao,{"Unitário","Global"},0),"(Qtde.)","(%)")</f>
        <v>Aferido (CAIXA) (%)</v>
      </c>
      <c r="R12" s="584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/>
      </c>
      <c r="W13" s="337" t="str">
        <f ca="1">CHOOSE(MATCH(RegimeExecucao,{"Unitário","Global"},0),"Quant. Glosada (unid)","Percentual Glosado (%)")</f>
        <v>Percentual Glosado (%)</v>
      </c>
      <c r="X13" s="337" t="str">
        <f ca="1">CHOOSE(MATCH(RegimeExecucao,{"Unitário","Global"},0),"Preço Unitário (R$)","Valor Total do Item (R$)")</f>
        <v>Valor Total do Item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(Sem Código)</v>
      </c>
      <c r="F14" s="173" t="str">
        <f ca="1">IF(RegimeExecucao="Global","",ORÇAMENTO.Unidade)</f>
        <v/>
      </c>
      <c r="G14" s="124" t="str">
        <f ca="1">IF(RegimeExecucao="Global","",ORÇAMENTO!T14)</f>
        <v/>
      </c>
      <c r="H14" s="124" t="str">
        <f ca="1">IF(RegimeExecucao="Global","",ORÇAMENTO!W14)</f>
        <v/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7" t="str">
        <f>"Objeto do CTEF: "&amp;Import.DescLote</f>
        <v>Objeto do CTEF: DIVERSOS TRECHOS DA ÁREA URBANA</v>
      </c>
      <c r="E15" s="687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IF(OR(ACOMPANHAMENTO="PLE",TIPOORCAMENTO="Proposto"),0,SUMIF(OFFSET($A15,1,0):$A$119,"S",OFFSET(M15,1,0):M$119))</f>
        <v>0</v>
      </c>
      <c r="N15" s="386">
        <f ca="1">O15-M15</f>
        <v>0</v>
      </c>
      <c r="O15" s="386">
        <f ca="1">IF(OR(ACOMPANHAMENTO="PLE",TIPOORCAMENTO="Proposto"),0,SUMIF(OFFSET($A15,1,0):$A$119,"S",OFFSET(O15,1,0):O$119))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3" t="str">
        <f ca="1">"Preencher abaixo com a "&amp;CHOOSE(MATCH(RegimeExecucao,{"Unitário","Global"},0),"QUANTIDADE","PORCENTAGEM")&amp;" executada no PERÍODO"</f>
        <v>Preencher abaixo com a PORCENTAGEM executada no PERÍODO</v>
      </c>
      <c r="AC15" s="683"/>
      <c r="AD15" s="683"/>
      <c r="AE15" s="683"/>
      <c r="AF15" s="683"/>
      <c r="AG15" s="683"/>
      <c r="AH15" s="683"/>
      <c r="AI15" s="683"/>
      <c r="AJ15" s="683"/>
      <c r="AK15" s="683"/>
      <c r="AL15" s="683"/>
      <c r="AM15" s="683"/>
    </row>
    <row r="16" spans="1:41" x14ac:dyDescent="0.2">
      <c r="A16">
        <f ca="1">ORÇAMENTO!C16</f>
        <v>1</v>
      </c>
      <c r="B16">
        <f ca="1">ORÇAMENTO!D16</f>
        <v>39</v>
      </c>
      <c r="C16" s="116" t="str">
        <f ca="1">IF(OR($I16&gt;0,$A16=1,$A16=2,$A16=3,$A16=4),"F","")</f>
        <v>F</v>
      </c>
      <c r="D16" s="119" t="str">
        <f ca="1">ORÇAMENTO!O16</f>
        <v>1.</v>
      </c>
      <c r="E16" s="172" t="str">
        <f>ORÇAMENTO.Descricao</f>
        <v>TRECHO 01 - Rua João XXIII e Loureiro da Silva</v>
      </c>
      <c r="F16" s="173" t="str">
        <f ca="1">IF(RegimeExecucao="Global","",ORÇAMENTO.Unidade)</f>
        <v/>
      </c>
      <c r="G16" s="124" t="str">
        <f ca="1">IF(RegimeExecucao="Global","",ORÇAMENTO!T16)</f>
        <v/>
      </c>
      <c r="H16" s="124" t="str">
        <f ca="1">IF(RegimeExecucao="Global","",ORÇAMENTO!W16)</f>
        <v/>
      </c>
      <c r="I16" s="127">
        <f ca="1">ORÇAMENTO!X16</f>
        <v>570193.64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ca="1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ca="1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ca="1">IF($W16&gt;0,$D16,"")</f>
        <v/>
      </c>
      <c r="U16" s="172" t="str">
        <f ca="1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ca="1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4</v>
      </c>
      <c r="C17" s="116" t="str">
        <f t="shared" ref="C17:C97" ca="1" si="1">IF(OR($I17&gt;0,$A17=1,$A17=2,$A17=3,$A17=4),"F","")</f>
        <v>F</v>
      </c>
      <c r="D17" s="119" t="str">
        <f ca="1">ORÇAMENTO!O17</f>
        <v>1.1.</v>
      </c>
      <c r="E17" s="172" t="str">
        <f t="shared" ref="E17:E97" si="2">ORÇAMENTO.Descricao</f>
        <v xml:space="preserve">SERVIÇOS INICIAIS </v>
      </c>
      <c r="F17" s="173" t="str">
        <f ca="1">IF(RegimeExecucao="Global","",ORÇAMENTO.Unidade)</f>
        <v/>
      </c>
      <c r="G17" s="124" t="str">
        <f ca="1">IF(RegimeExecucao="Global","",ORÇAMENTO!T17)</f>
        <v/>
      </c>
      <c r="H17" s="124" t="str">
        <f ca="1">IF(RegimeExecucao="Global","",ORÇAMENTO!W17)</f>
        <v/>
      </c>
      <c r="I17" s="127">
        <f ca="1">ORÇAMENTO!X17</f>
        <v>8049.5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ref="K17:K97" ca="1" si="3">L17-J17</f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ref="N17:N97" ca="1" si="4">O17-M17</f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ref="T17:T97" ca="1" si="5">IF($W17&gt;0,$D17,"")</f>
        <v/>
      </c>
      <c r="U17" s="172" t="str">
        <f t="shared" ref="U17:U97" ca="1" si="6">IF($W17&gt;0,$E17,"")</f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ref="Y17:Y97" ca="1" si="7">AO17-O17</f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25.5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>F</v>
      </c>
      <c r="D18" s="119" t="str">
        <f ca="1">ORÇAMENTO!O18</f>
        <v>1.1.1.</v>
      </c>
      <c r="E18" s="172" t="str">
        <f t="shared" ca="1" si="2"/>
        <v>Placa em aço - 3,00 x 1,50 m - película retrorrefletiva tipo I + I - fornecimento e implantação</v>
      </c>
      <c r="F18" s="173" t="str">
        <f ca="1">IF(RegimeExecucao="Global","",ORÇAMENTO.Unidade)</f>
        <v/>
      </c>
      <c r="G18" s="124" t="str">
        <f ca="1">IF(RegimeExecucao="Global","",ORÇAMENTO!T18)</f>
        <v/>
      </c>
      <c r="H18" s="124" t="str">
        <f ca="1">IF(RegimeExecucao="Global","",ORÇAMENTO!W18)</f>
        <v/>
      </c>
      <c r="I18" s="127">
        <f ca="1">ORÇAMENTO!X18</f>
        <v>2342.1999999999998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ht="25.5" x14ac:dyDescent="0.2">
      <c r="A19" t="str">
        <f ca="1">ORÇAMENTO!C19</f>
        <v>S</v>
      </c>
      <c r="B19">
        <f ca="1">ORÇAMENTO!D19</f>
        <v>0</v>
      </c>
      <c r="C19" s="116" t="str">
        <f ca="1">IF(OR($I19&gt;0,$A19=1,$A19=2,$A19=3,$A19=4),"F","")</f>
        <v>F</v>
      </c>
      <c r="D19" s="119" t="str">
        <f ca="1">ORÇAMENTO!O19</f>
        <v>1.1.2.</v>
      </c>
      <c r="E19" s="172" t="str">
        <f ca="1">ORÇAMENTO.Descricao</f>
        <v>Suporte para placa de sinalização em madeira de lei tratada 8 x 8 cm - fornecimento e implantação</v>
      </c>
      <c r="F19" s="173" t="str">
        <f ca="1">IF(RegimeExecucao="Global","",ORÇAMENTO.Unidade)</f>
        <v/>
      </c>
      <c r="G19" s="124" t="str">
        <f ca="1">IF(RegimeExecucao="Global","",ORÇAMENTO!T19)</f>
        <v/>
      </c>
      <c r="H19" s="124" t="str">
        <f ca="1">IF(RegimeExecucao="Global","",ORÇAMENTO!W19)</f>
        <v/>
      </c>
      <c r="I19" s="127">
        <f ca="1">ORÇAMENTO!X19</f>
        <v>167.78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ca="1">L19-J19</f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ca="1">O19-M19</f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ca="1">IF($W19&gt;0,$D19,"")</f>
        <v/>
      </c>
      <c r="U19" s="172" t="str">
        <f ca="1">IF($W19&gt;0,$E19,"")</f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ca="1">AO19-O19</f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x14ac:dyDescent="0.2">
      <c r="A20" t="str">
        <f ca="1">ORÇAMENTO!C20</f>
        <v>S</v>
      </c>
      <c r="B20">
        <f ca="1">ORÇAMENTO!D20</f>
        <v>0</v>
      </c>
      <c r="C20" s="116" t="str">
        <f ca="1">IF(OR($I20&gt;0,$A20=1,$A20=2,$A20=3,$A20=4),"F","")</f>
        <v>F</v>
      </c>
      <c r="D20" s="119" t="str">
        <f ca="1">ORÇAMENTO!O20</f>
        <v>1.1.3.</v>
      </c>
      <c r="E20" s="172" t="str">
        <f t="shared" ref="E20:E25" ca="1" si="8">ORÇAMENTO.Descricao</f>
        <v xml:space="preserve">MOBILIZAÇÃO E DESMOBILIZAÇÃO </v>
      </c>
      <c r="F20" s="173" t="str">
        <f ca="1">IF(RegimeExecucao="Global","",ORÇAMENTO.Unidade)</f>
        <v/>
      </c>
      <c r="G20" s="124" t="str">
        <f ca="1">IF(RegimeExecucao="Global","",ORÇAMENTO!T20)</f>
        <v/>
      </c>
      <c r="H20" s="124" t="str">
        <f ca="1">IF(RegimeExecucao="Global","",ORÇAMENTO!W20)</f>
        <v/>
      </c>
      <c r="I20" s="127">
        <f ca="1">ORÇAMENTO!X20</f>
        <v>5539.52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ca="1">L20-J20</f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ca="1">O20-M20</f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ca="1">IF($W20&gt;0,$D20,"")</f>
        <v/>
      </c>
      <c r="U20" s="172" t="str">
        <f ca="1">IF($W20&gt;0,$E20,"")</f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ca="1">AO20-O20</f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x14ac:dyDescent="0.2">
      <c r="A21">
        <f ca="1">ORÇAMENTO!C21</f>
        <v>2</v>
      </c>
      <c r="B21">
        <f ca="1">ORÇAMENTO!D21</f>
        <v>4</v>
      </c>
      <c r="C21" s="116" t="str">
        <f t="shared" ref="C21:C24" ca="1" si="9">IF(OR($I21&gt;0,$A21=1,$A21=2,$A21=3,$A21=4),"F","")</f>
        <v>F</v>
      </c>
      <c r="D21" s="119" t="str">
        <f ca="1">ORÇAMENTO!O21</f>
        <v>1.2.</v>
      </c>
      <c r="E21" s="172" t="str">
        <f t="shared" si="8"/>
        <v>ADMINISTRAÇÃO LOCAL</v>
      </c>
      <c r="F21" s="173" t="str">
        <f ca="1">IF(RegimeExecucao="Global","",ORÇAMENTO.Unidade)</f>
        <v/>
      </c>
      <c r="G21" s="124" t="str">
        <f ca="1">IF(RegimeExecucao="Global","",ORÇAMENTO!T21)</f>
        <v/>
      </c>
      <c r="H21" s="124" t="str">
        <f ca="1">IF(RegimeExecucao="Global","",ORÇAMENTO!W21)</f>
        <v/>
      </c>
      <c r="I21" s="127">
        <f ca="1">ORÇAMENTO!X21</f>
        <v>7454.1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ref="K21:K24" ca="1" si="10">L21-J21</f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ref="N21:N24" ca="1" si="11">O21-M21</f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ref="T21:T24" ca="1" si="12">IF($W21&gt;0,$D21,"")</f>
        <v/>
      </c>
      <c r="U21" s="172" t="str">
        <f t="shared" ref="U21:U24" ca="1" si="13">IF($W21&gt;0,$E21,"")</f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ref="Y21:Y24" ca="1" si="14">AO21-O21</f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x14ac:dyDescent="0.2">
      <c r="A22" t="str">
        <f ca="1">ORÇAMENTO!C22</f>
        <v>S</v>
      </c>
      <c r="B22">
        <f ca="1">ORÇAMENTO!D22</f>
        <v>0</v>
      </c>
      <c r="C22" s="116" t="str">
        <f t="shared" ca="1" si="9"/>
        <v>F</v>
      </c>
      <c r="D22" s="119" t="str">
        <f ca="1">ORÇAMENTO!O22</f>
        <v>1.2.1.</v>
      </c>
      <c r="E22" s="172" t="str">
        <f t="shared" ca="1" si="8"/>
        <v>Engenheiro</v>
      </c>
      <c r="F22" s="173" t="str">
        <f ca="1">IF(RegimeExecucao="Global","",ORÇAMENTO.Unidade)</f>
        <v/>
      </c>
      <c r="G22" s="124" t="str">
        <f ca="1">IF(RegimeExecucao="Global","",ORÇAMENTO!T22)</f>
        <v/>
      </c>
      <c r="H22" s="124" t="str">
        <f ca="1">IF(RegimeExecucao="Global","",ORÇAMENTO!W22)</f>
        <v/>
      </c>
      <c r="I22" s="127">
        <f ca="1">ORÇAMENTO!X22</f>
        <v>2981.1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10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11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12"/>
        <v/>
      </c>
      <c r="U22" s="172" t="str">
        <f t="shared" ca="1" si="13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14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s="577" customFormat="1" x14ac:dyDescent="0.2">
      <c r="A23" s="577" t="str">
        <f ca="1">ORÇAMENTO!C23</f>
        <v>S</v>
      </c>
      <c r="B23" s="577">
        <f ca="1">ORÇAMENTO!D23</f>
        <v>0</v>
      </c>
      <c r="C23" s="116" t="str">
        <f ca="1">IF(OR($I23&gt;0,$A23=1,$A23=2,$A23=3,$A23=4),"F","")</f>
        <v>F</v>
      </c>
      <c r="D23" s="119" t="str">
        <f ca="1">ORÇAMENTO!O23</f>
        <v>1.2.2.</v>
      </c>
      <c r="E23" s="172" t="str">
        <f ca="1">ORÇAMENTO.Descricao</f>
        <v>Encarregado de pavimentação</v>
      </c>
      <c r="F23" s="173" t="str">
        <f ca="1">IF(RegimeExecucao="Global","",ORÇAMENTO.Unidade)</f>
        <v/>
      </c>
      <c r="G23" s="124" t="str">
        <f ca="1">IF(RegimeExecucao="Global","",ORÇAMENTO!T23)</f>
        <v/>
      </c>
      <c r="H23" s="124" t="str">
        <f ca="1">IF(RegimeExecucao="Global","",ORÇAMENTO!W23)</f>
        <v/>
      </c>
      <c r="I23" s="127">
        <f ca="1">ORÇAMENTO!X23</f>
        <v>3432.6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ca="1">L23-J23</f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ca="1">O23-M23</f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ca="1">IF($W23&gt;0,$D23,"")</f>
        <v/>
      </c>
      <c r="U23" s="172" t="str">
        <f ca="1">IF($W23&gt;0,$E23,"")</f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ca="1">AO23-O23</f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 s="577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x14ac:dyDescent="0.2">
      <c r="A24" t="str">
        <f ca="1">ORÇAMENTO!C24</f>
        <v>S</v>
      </c>
      <c r="B24">
        <f ca="1">ORÇAMENTO!D24</f>
        <v>0</v>
      </c>
      <c r="C24" s="116" t="str">
        <f t="shared" ca="1" si="9"/>
        <v>F</v>
      </c>
      <c r="D24" s="119" t="str">
        <f ca="1">ORÇAMENTO!O24</f>
        <v>1.2.3.</v>
      </c>
      <c r="E24" s="172" t="str">
        <f t="shared" ca="1" si="8"/>
        <v>Auxiliar de topografia</v>
      </c>
      <c r="F24" s="173" t="str">
        <f ca="1">IF(RegimeExecucao="Global","",ORÇAMENTO.Unidade)</f>
        <v/>
      </c>
      <c r="G24" s="124" t="str">
        <f ca="1">IF(RegimeExecucao="Global","",ORÇAMENTO!T24)</f>
        <v/>
      </c>
      <c r="H24" s="124" t="str">
        <f ca="1">IF(RegimeExecucao="Global","",ORÇAMENTO!W24)</f>
        <v/>
      </c>
      <c r="I24" s="127">
        <f ca="1">ORÇAMENTO!X24</f>
        <v>1040.4000000000001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10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11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12"/>
        <v/>
      </c>
      <c r="U24" s="172" t="str">
        <f t="shared" ca="1" si="13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14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x14ac:dyDescent="0.2">
      <c r="A25">
        <f ca="1">ORÇAMENTO!C25</f>
        <v>2</v>
      </c>
      <c r="B25">
        <f ca="1">ORÇAMENTO!D25</f>
        <v>9</v>
      </c>
      <c r="C25" s="116" t="str">
        <f ca="1">IF(OR($I25&gt;0,$A25=1,$A25=2,$A25=3,$A25=4),"F","")</f>
        <v>F</v>
      </c>
      <c r="D25" s="119" t="str">
        <f ca="1">ORÇAMENTO!O25</f>
        <v>1.3.</v>
      </c>
      <c r="E25" s="172" t="str">
        <f t="shared" si="8"/>
        <v>DRENAGEM</v>
      </c>
      <c r="F25" s="173" t="str">
        <f ca="1">IF(RegimeExecucao="Global","",ORÇAMENTO.Unidade)</f>
        <v/>
      </c>
      <c r="G25" s="124" t="str">
        <f ca="1">IF(RegimeExecucao="Global","",ORÇAMENTO!T25)</f>
        <v/>
      </c>
      <c r="H25" s="124" t="str">
        <f ca="1">IF(RegimeExecucao="Global","",ORÇAMENTO!W25)</f>
        <v/>
      </c>
      <c r="I25" s="127">
        <f ca="1">ORÇAMENTO!X25</f>
        <v>99876.74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ca="1">L25-J25</f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ca="1">O25-M25</f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ca="1">IF($W25&gt;0,$D25,"")</f>
        <v/>
      </c>
      <c r="U25" s="172" t="str">
        <f ca="1">IF($W25&gt;0,$E25,"")</f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ca="1">AO25-O25</f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38.25" x14ac:dyDescent="0.2">
      <c r="A26" t="str">
        <f ca="1">ORÇAMENTO!C26</f>
        <v>S</v>
      </c>
      <c r="B26">
        <f ca="1">ORÇAMENTO!D26</f>
        <v>0</v>
      </c>
      <c r="C26" s="116" t="str">
        <f t="shared" ca="1" si="1"/>
        <v>F</v>
      </c>
      <c r="D26" s="119" t="str">
        <f ca="1">ORÇAMENTO!O26</f>
        <v>1.3.1.</v>
      </c>
      <c r="E26" s="172" t="str">
        <f t="shared" ca="1" si="2"/>
        <v>Escavação, carga e transporte de material de 1ª categoria - DMT de 1.000 a 1.200 m - caminho de serviço pavimentado - com escavadeira e caminhão basculante de 14 m³</v>
      </c>
      <c r="F26" s="173" t="str">
        <f ca="1">IF(RegimeExecucao="Global","",ORÇAMENTO.Unidade)</f>
        <v/>
      </c>
      <c r="G26" s="124" t="str">
        <f ca="1">IF(RegimeExecucao="Global","",ORÇAMENTO!T26)</f>
        <v/>
      </c>
      <c r="H26" s="124" t="str">
        <f ca="1">IF(RegimeExecucao="Global","",ORÇAMENTO!W26)</f>
        <v/>
      </c>
      <c r="I26" s="127">
        <f ca="1">ORÇAMENTO!X26</f>
        <v>1368.37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 x14ac:dyDescent="0.2">
      <c r="A27" t="str">
        <f ca="1">ORÇAMENTO!C27</f>
        <v>S</v>
      </c>
      <c r="B27">
        <f ca="1">ORÇAMENTO!D27</f>
        <v>0</v>
      </c>
      <c r="C27" s="116" t="str">
        <f t="shared" ca="1" si="1"/>
        <v>F</v>
      </c>
      <c r="D27" s="119" t="str">
        <f ca="1">ORÇAMENTO!O27</f>
        <v>1.3.2.</v>
      </c>
      <c r="E27" s="172" t="str">
        <f t="shared" ca="1" si="2"/>
        <v>TUBO DE CONCRETO PA2 COMERCIAL PARA DRENAGEM - D=0,40 m (fornecimento e instalação)</v>
      </c>
      <c r="F27" s="173" t="str">
        <f ca="1">IF(RegimeExecucao="Global","",ORÇAMENTO.Unidade)</f>
        <v/>
      </c>
      <c r="G27" s="124" t="str">
        <f ca="1">IF(RegimeExecucao="Global","",ORÇAMENTO!T27)</f>
        <v/>
      </c>
      <c r="H27" s="124" t="str">
        <f ca="1">IF(RegimeExecucao="Global","",ORÇAMENTO!W27)</f>
        <v/>
      </c>
      <c r="I27" s="127">
        <f ca="1">ORÇAMENTO!X27</f>
        <v>31653.53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x14ac:dyDescent="0.2">
      <c r="A28" t="str">
        <f ca="1">ORÇAMENTO!C28</f>
        <v>S</v>
      </c>
      <c r="B28">
        <f ca="1">ORÇAMENTO!D28</f>
        <v>0</v>
      </c>
      <c r="C28" s="116" t="str">
        <f t="shared" ca="1" si="1"/>
        <v>F</v>
      </c>
      <c r="D28" s="119" t="str">
        <f ca="1">ORÇAMENTO!O28</f>
        <v>1.3.3.</v>
      </c>
      <c r="E28" s="172" t="str">
        <f t="shared" ca="1" si="2"/>
        <v>Reaterro e compactação com soquete vibratório</v>
      </c>
      <c r="F28" s="173" t="str">
        <f ca="1">IF(RegimeExecucao="Global","",ORÇAMENTO.Unidade)</f>
        <v/>
      </c>
      <c r="G28" s="124" t="str">
        <f ca="1">IF(RegimeExecucao="Global","",ORÇAMENTO!T28)</f>
        <v/>
      </c>
      <c r="H28" s="124" t="str">
        <f ca="1">IF(RegimeExecucao="Global","",ORÇAMENTO!W28)</f>
        <v/>
      </c>
      <c r="I28" s="127">
        <f ca="1">ORÇAMENTO!X28</f>
        <v>2695.42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t="shared" ca="1" si="3"/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t="shared" ca="1" si="4"/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t="shared" ca="1" si="5"/>
        <v/>
      </c>
      <c r="U28" s="172" t="str">
        <f t="shared" ca="1" si="6"/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t="shared" ca="1" si="7"/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x14ac:dyDescent="0.2">
      <c r="A29" t="str">
        <f ca="1">ORÇAMENTO!C29</f>
        <v>S</v>
      </c>
      <c r="B29">
        <f ca="1">ORÇAMENTO!D29</f>
        <v>0</v>
      </c>
      <c r="C29" s="116" t="str">
        <f t="shared" ca="1" si="1"/>
        <v>F</v>
      </c>
      <c r="D29" s="119" t="str">
        <f ca="1">ORÇAMENTO!O29</f>
        <v>1.3.4.</v>
      </c>
      <c r="E29" s="172" t="str">
        <f t="shared" ca="1" si="2"/>
        <v>Usinagem de brita graduada com brita comercial em usina de 300 t/h</v>
      </c>
      <c r="F29" s="173" t="str">
        <f ca="1">IF(RegimeExecucao="Global","",ORÇAMENTO.Unidade)</f>
        <v/>
      </c>
      <c r="G29" s="124" t="str">
        <f ca="1">IF(RegimeExecucao="Global","",ORÇAMENTO!T29)</f>
        <v/>
      </c>
      <c r="H29" s="124" t="str">
        <f ca="1">IF(RegimeExecucao="Global","",ORÇAMENTO!W29)</f>
        <v/>
      </c>
      <c r="I29" s="127">
        <f ca="1">ORÇAMENTO!X29</f>
        <v>29348.400000000001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25.5" x14ac:dyDescent="0.2">
      <c r="A30" t="str">
        <f ca="1">ORÇAMENTO!C30</f>
        <v>S</v>
      </c>
      <c r="B30">
        <f ca="1">ORÇAMENTO!D30</f>
        <v>0</v>
      </c>
      <c r="C30" s="116" t="str">
        <f t="shared" ca="1" si="1"/>
        <v>F</v>
      </c>
      <c r="D30" s="119" t="str">
        <f ca="1">ORÇAMENTO!O30</f>
        <v>1.3.5.</v>
      </c>
      <c r="E30" s="172" t="str">
        <f t="shared" ca="1" si="2"/>
        <v>Transporte com caminhão basculante de 10 m³ - rodovia pavimentada</v>
      </c>
      <c r="F30" s="173" t="str">
        <f ca="1">IF(RegimeExecucao="Global","",ORÇAMENTO.Unidade)</f>
        <v/>
      </c>
      <c r="G30" s="124" t="str">
        <f ca="1">IF(RegimeExecucao="Global","",ORÇAMENTO!T30)</f>
        <v/>
      </c>
      <c r="H30" s="124" t="str">
        <f ca="1">IF(RegimeExecucao="Global","",ORÇAMENTO!W30)</f>
        <v/>
      </c>
      <c r="I30" s="127">
        <f ca="1">ORÇAMENTO!X30</f>
        <v>5212.5200000000004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t="shared" ca="1" si="3"/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t="shared" ca="1" si="4"/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t="shared" ca="1" si="5"/>
        <v/>
      </c>
      <c r="U30" s="172" t="str">
        <f t="shared" ca="1" si="6"/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t="shared" ca="1" si="7"/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x14ac:dyDescent="0.2">
      <c r="A31" t="str">
        <f ca="1">ORÇAMENTO!C31</f>
        <v>S</v>
      </c>
      <c r="B31">
        <f ca="1">ORÇAMENTO!D31</f>
        <v>0</v>
      </c>
      <c r="C31" s="116" t="str">
        <f t="shared" ca="1" si="1"/>
        <v>F</v>
      </c>
      <c r="D31" s="119" t="str">
        <f ca="1">ORÇAMENTO!O31</f>
        <v>1.3.6.</v>
      </c>
      <c r="E31" s="172" t="str">
        <f t="shared" ca="1" si="2"/>
        <v>BOCA DE LOBO COM GRADE 80X80 (INTERNA) - TIPO BL</v>
      </c>
      <c r="F31" s="173" t="str">
        <f ca="1">IF(RegimeExecucao="Global","",ORÇAMENTO.Unidade)</f>
        <v/>
      </c>
      <c r="G31" s="124" t="str">
        <f ca="1">IF(RegimeExecucao="Global","",ORÇAMENTO!T31)</f>
        <v/>
      </c>
      <c r="H31" s="124" t="str">
        <f ca="1">IF(RegimeExecucao="Global","",ORÇAMENTO!W31)</f>
        <v/>
      </c>
      <c r="I31" s="127">
        <f ca="1">ORÇAMENTO!X31</f>
        <v>7096.32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25.5" x14ac:dyDescent="0.2">
      <c r="A32" t="str">
        <f ca="1">ORÇAMENTO!C32</f>
        <v>S</v>
      </c>
      <c r="B32">
        <f ca="1">ORÇAMENTO!D32</f>
        <v>0</v>
      </c>
      <c r="C32" s="116" t="str">
        <f t="shared" ca="1" si="1"/>
        <v>F</v>
      </c>
      <c r="D32" s="119" t="str">
        <f ca="1">ORÇAMENTO!O32</f>
        <v>1.3.7.</v>
      </c>
      <c r="E32" s="172" t="str">
        <f t="shared" ca="1" si="2"/>
        <v>AJUSTE DE BOCA DE LOBO EXISTENTE PARA CONEXÃO A NOVA REDE</v>
      </c>
      <c r="F32" s="173" t="str">
        <f ca="1">IF(RegimeExecucao="Global","",ORÇAMENTO.Unidade)</f>
        <v/>
      </c>
      <c r="G32" s="124" t="str">
        <f ca="1">IF(RegimeExecucao="Global","",ORÇAMENTO!T32)</f>
        <v/>
      </c>
      <c r="H32" s="124" t="str">
        <f ca="1">IF(RegimeExecucao="Global","",ORÇAMENTO!W32)</f>
        <v/>
      </c>
      <c r="I32" s="127">
        <f ca="1">ORÇAMENTO!X32</f>
        <v>510.5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25.5" x14ac:dyDescent="0.2">
      <c r="A33" t="str">
        <f ca="1">ORÇAMENTO!C33</f>
        <v>S</v>
      </c>
      <c r="B33">
        <f ca="1">ORÇAMENTO!D33</f>
        <v>0</v>
      </c>
      <c r="C33" s="116" t="str">
        <f ca="1">IF(OR($I33&gt;0,$A33=1,$A33=2,$A33=3,$A33=4),"F","")</f>
        <v>F</v>
      </c>
      <c r="D33" s="119" t="str">
        <f ca="1">ORÇAMENTO!O33</f>
        <v>1.3.8.</v>
      </c>
      <c r="E33" s="172" t="str">
        <f ca="1">ORÇAMENTO.Descricao</f>
        <v>SARJETA DE CONCRETO MOLDADA IN LOCO, CONCRETO USINADO 30X5 CM</v>
      </c>
      <c r="F33" s="173" t="str">
        <f ca="1">IF(RegimeExecucao="Global","",ORÇAMENTO.Unidade)</f>
        <v/>
      </c>
      <c r="G33" s="124" t="str">
        <f ca="1">IF(RegimeExecucao="Global","",ORÇAMENTO!T33)</f>
        <v/>
      </c>
      <c r="H33" s="124" t="str">
        <f ca="1">IF(RegimeExecucao="Global","",ORÇAMENTO!W33)</f>
        <v/>
      </c>
      <c r="I33" s="127">
        <f ca="1">ORÇAMENTO!X33</f>
        <v>21991.68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ca="1">L33-J33</f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ca="1">O33-M33</f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ca="1">IF($W33&gt;0,$D33,"")</f>
        <v/>
      </c>
      <c r="U33" s="172" t="str">
        <f ca="1">IF($W33&gt;0,$E33,"")</f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ca="1">AO33-O33</f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x14ac:dyDescent="0.2">
      <c r="A34">
        <f ca="1">ORÇAMENTO!C34</f>
        <v>2</v>
      </c>
      <c r="B34">
        <f ca="1">ORÇAMENTO!D34</f>
        <v>12</v>
      </c>
      <c r="C34" s="116" t="str">
        <f t="shared" ca="1" si="1"/>
        <v>F</v>
      </c>
      <c r="D34" s="119" t="str">
        <f ca="1">ORÇAMENTO!O34</f>
        <v>1.4.</v>
      </c>
      <c r="E34" s="172" t="str">
        <f t="shared" si="2"/>
        <v>PAVIMENTAÇÃO</v>
      </c>
      <c r="F34" s="173" t="str">
        <f ca="1">IF(RegimeExecucao="Global","",ORÇAMENTO.Unidade)</f>
        <v/>
      </c>
      <c r="G34" s="124" t="str">
        <f ca="1">IF(RegimeExecucao="Global","",ORÇAMENTO!T34)</f>
        <v/>
      </c>
      <c r="H34" s="124" t="str">
        <f ca="1">IF(RegimeExecucao="Global","",ORÇAMENTO!W34)</f>
        <v/>
      </c>
      <c r="I34" s="127">
        <f ca="1">ORÇAMENTO!X34</f>
        <v>440790.57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38.25" x14ac:dyDescent="0.2">
      <c r="A35" t="str">
        <f ca="1">ORÇAMENTO!C35</f>
        <v>S</v>
      </c>
      <c r="B35">
        <f ca="1">ORÇAMENTO!D35</f>
        <v>0</v>
      </c>
      <c r="C35" s="116" t="str">
        <f ca="1">IF(OR($I35&gt;0,$A35=1,$A35=2,$A35=3,$A35=4),"F","")</f>
        <v>F</v>
      </c>
      <c r="D35" s="119" t="str">
        <f ca="1">ORÇAMENTO!O35</f>
        <v>1.4.1.</v>
      </c>
      <c r="E35" s="172" t="str">
        <f ca="1">ORÇAMENTO.Descricao</f>
        <v>Escavação, carga e transporte de material de 1ª categoria - DMT de 1.000 a 1.200 m - caminho de serviço pavimentado - com escavadeira e caminhão basculante de 14 m³</v>
      </c>
      <c r="F35" s="173" t="str">
        <f ca="1">IF(RegimeExecucao="Global","",ORÇAMENTO.Unidade)</f>
        <v/>
      </c>
      <c r="G35" s="124" t="str">
        <f ca="1">IF(RegimeExecucao="Global","",ORÇAMENTO!T35)</f>
        <v/>
      </c>
      <c r="H35" s="124" t="str">
        <f ca="1">IF(RegimeExecucao="Global","",ORÇAMENTO!W35)</f>
        <v/>
      </c>
      <c r="I35" s="127">
        <f ca="1">ORÇAMENTO!X35</f>
        <v>193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ca="1">L35-J35</f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ca="1">O35-M35</f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ca="1">IF($W35&gt;0,$D35,"")</f>
        <v/>
      </c>
      <c r="U35" s="172" t="str">
        <f ca="1">IF($W35&gt;0,$E35,"")</f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ca="1">AO35-O35</f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25.5" x14ac:dyDescent="0.2">
      <c r="A36" t="str">
        <f ca="1">ORÇAMENTO!C36</f>
        <v>S</v>
      </c>
      <c r="B36">
        <f ca="1">ORÇAMENTO!D36</f>
        <v>0</v>
      </c>
      <c r="C36" s="116" t="str">
        <f ca="1">IF(OR($I36&gt;0,$A36=1,$A36=2,$A36=3,$A36=4),"F","")</f>
        <v>F</v>
      </c>
      <c r="D36" s="119" t="str">
        <f ca="1">ORÇAMENTO!O36</f>
        <v>1.4.2.</v>
      </c>
      <c r="E36" s="172" t="str">
        <f ca="1">ORÇAMENTO.Descricao</f>
        <v>Base ou sub-base de brita graduada com brita comercial - 100% Proctor modificado</v>
      </c>
      <c r="F36" s="173" t="str">
        <f ca="1">IF(RegimeExecucao="Global","",ORÇAMENTO.Unidade)</f>
        <v/>
      </c>
      <c r="G36" s="124" t="str">
        <f ca="1">IF(RegimeExecucao="Global","",ORÇAMENTO!T36)</f>
        <v/>
      </c>
      <c r="H36" s="124" t="str">
        <f ca="1">IF(RegimeExecucao="Global","",ORÇAMENTO!W36)</f>
        <v/>
      </c>
      <c r="I36" s="127">
        <f ca="1">ORÇAMENTO!X36</f>
        <v>11720.8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ca="1">L36-J36</f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ca="1">O36-M36</f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ca="1">IF($W36&gt;0,$D36,"")</f>
        <v/>
      </c>
      <c r="U36" s="172" t="str">
        <f ca="1">IF($W36&gt;0,$E36,"")</f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ca="1">AO36-O36</f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25.5" x14ac:dyDescent="0.2">
      <c r="A37" t="str">
        <f ca="1">ORÇAMENTO!C37</f>
        <v>S</v>
      </c>
      <c r="B37">
        <f ca="1">ORÇAMENTO!D37</f>
        <v>0</v>
      </c>
      <c r="C37" s="116" t="str">
        <f ca="1">IF(OR($I37&gt;0,$A37=1,$A37=2,$A37=3,$A37=4),"F","")</f>
        <v>F</v>
      </c>
      <c r="D37" s="119" t="str">
        <f ca="1">ORÇAMENTO!O37</f>
        <v>1.4.3.</v>
      </c>
      <c r="E37" s="172" t="str">
        <f ca="1">ORÇAMENTO.Descricao</f>
        <v>Transporte com caminhão basculante de 10 m³ - rodovia pavimentada</v>
      </c>
      <c r="F37" s="173" t="str">
        <f ca="1">IF(RegimeExecucao="Global","",ORÇAMENTO.Unidade)</f>
        <v/>
      </c>
      <c r="G37" s="124" t="str">
        <f ca="1">IF(RegimeExecucao="Global","",ORÇAMENTO!T37)</f>
        <v/>
      </c>
      <c r="H37" s="124" t="str">
        <f ca="1">IF(RegimeExecucao="Global","",ORÇAMENTO!W37)</f>
        <v/>
      </c>
      <c r="I37" s="127">
        <f ca="1">ORÇAMENTO!X37</f>
        <v>1917.6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ca="1">L37-J37</f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ca="1">O37-M37</f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ca="1">IF($W37&gt;0,$D37,"")</f>
        <v/>
      </c>
      <c r="U37" s="172" t="str">
        <f ca="1">IF($W37&gt;0,$E37,"")</f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ca="1">AO37-O37</f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25.5" x14ac:dyDescent="0.2">
      <c r="A38" t="str">
        <f ca="1">ORÇAMENTO!C38</f>
        <v>S</v>
      </c>
      <c r="B38">
        <f ca="1">ORÇAMENTO!D38</f>
        <v>0</v>
      </c>
      <c r="C38" s="116" t="str">
        <f ca="1">IF(OR($I38&gt;0,$A38=1,$A38=2,$A38=3,$A38=4),"F","")</f>
        <v>F</v>
      </c>
      <c r="D38" s="119" t="str">
        <f ca="1">ORÇAMENTO!O38</f>
        <v>1.4.4.</v>
      </c>
      <c r="E38" s="172" t="str">
        <f ca="1">ORÇAMENTO.Descricao</f>
        <v>LIMPEZA E LAVAGEM DE PISTA COM CAMINHÃO PIPA E VASSOURA MECÂNICA</v>
      </c>
      <c r="F38" s="173" t="str">
        <f ca="1">IF(RegimeExecucao="Global","",ORÇAMENTO.Unidade)</f>
        <v/>
      </c>
      <c r="G38" s="124" t="str">
        <f ca="1">IF(RegimeExecucao="Global","",ORÇAMENTO!T38)</f>
        <v/>
      </c>
      <c r="H38" s="124" t="str">
        <f ca="1">IF(RegimeExecucao="Global","",ORÇAMENTO!W38)</f>
        <v/>
      </c>
      <c r="I38" s="127">
        <f ca="1">ORÇAMENTO!X38</f>
        <v>5057.83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ca="1">L38-J38</f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ca="1">O38-M38</f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ca="1">IF($W38&gt;0,$D38,"")</f>
        <v/>
      </c>
      <c r="U38" s="172" t="str">
        <f ca="1">IF($W38&gt;0,$E38,"")</f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ca="1">AO38-O38</f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x14ac:dyDescent="0.2">
      <c r="A39" t="str">
        <f ca="1">ORÇAMENTO!C39</f>
        <v>S</v>
      </c>
      <c r="B39">
        <f ca="1">ORÇAMENTO!D39</f>
        <v>0</v>
      </c>
      <c r="C39" s="116" t="str">
        <f t="shared" ca="1" si="1"/>
        <v>F</v>
      </c>
      <c r="D39" s="119" t="str">
        <f ca="1">ORÇAMENTO!O39</f>
        <v>1.4.5.</v>
      </c>
      <c r="E39" s="172" t="str">
        <f t="shared" ca="1" si="2"/>
        <v>Pintura de ligação</v>
      </c>
      <c r="F39" s="173" t="str">
        <f ca="1">IF(RegimeExecucao="Global","",ORÇAMENTO.Unidade)</f>
        <v/>
      </c>
      <c r="G39" s="124" t="str">
        <f ca="1">IF(RegimeExecucao="Global","",ORÇAMENTO!T39)</f>
        <v/>
      </c>
      <c r="H39" s="124" t="str">
        <f ca="1">IF(RegimeExecucao="Global","",ORÇAMENTO!W39)</f>
        <v/>
      </c>
      <c r="I39" s="127">
        <f ca="1">ORÇAMENTO!X39</f>
        <v>4540.1000000000004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t="shared" ca="1" si="3"/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t="shared" ca="1" si="4"/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t="shared" ca="1" si="5"/>
        <v/>
      </c>
      <c r="U39" s="172" t="str">
        <f t="shared" ca="1" si="6"/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t="shared" ca="1" si="7"/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x14ac:dyDescent="0.2">
      <c r="A40" t="str">
        <f ca="1">ORÇAMENTO!C40</f>
        <v>S</v>
      </c>
      <c r="B40">
        <f ca="1">ORÇAMENTO!D40</f>
        <v>0</v>
      </c>
      <c r="C40" s="116" t="str">
        <f t="shared" ca="1" si="1"/>
        <v>F</v>
      </c>
      <c r="D40" s="119" t="str">
        <f ca="1">ORÇAMENTO!O40</f>
        <v>1.4.6.</v>
      </c>
      <c r="E40" s="172" t="str">
        <f t="shared" ca="1" si="2"/>
        <v>Concreto asfáltico - faixa C-12,5 - areia e brita comerciais</v>
      </c>
      <c r="F40" s="173" t="str">
        <f ca="1">IF(RegimeExecucao="Global","",ORÇAMENTO.Unidade)</f>
        <v/>
      </c>
      <c r="G40" s="124" t="str">
        <f ca="1">IF(RegimeExecucao="Global","",ORÇAMENTO!T40)</f>
        <v/>
      </c>
      <c r="H40" s="124" t="str">
        <f ca="1">IF(RegimeExecucao="Global","",ORÇAMENTO!W40)</f>
        <v/>
      </c>
      <c r="I40" s="127">
        <f ca="1">ORÇAMENTO!X40</f>
        <v>146162.4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t="shared" ca="1" si="3"/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t="shared" ca="1" si="4"/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t="shared" ca="1" si="5"/>
        <v/>
      </c>
      <c r="U40" s="172" t="str">
        <f t="shared" ca="1" si="6"/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t="shared" ca="1" si="7"/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s="577" customFormat="1" ht="25.5" x14ac:dyDescent="0.2">
      <c r="A41" s="577" t="str">
        <f ca="1">ORÇAMENTO!C41</f>
        <v>S</v>
      </c>
      <c r="B41" s="577">
        <f ca="1">ORÇAMENTO!D41</f>
        <v>0</v>
      </c>
      <c r="C41" s="116" t="str">
        <f ca="1">IF(OR($I41&gt;0,$A41=1,$A41=2,$A41=3,$A41=4),"F","")</f>
        <v>F</v>
      </c>
      <c r="D41" s="119" t="str">
        <f ca="1">ORÇAMENTO!O41</f>
        <v>1.4.7.</v>
      </c>
      <c r="E41" s="172" t="str">
        <f ca="1">ORÇAMENTO.Descricao</f>
        <v>Transporte com caminhão basculante de 10 m³ - rodovia pavimentada</v>
      </c>
      <c r="F41" s="173" t="str">
        <f ca="1">IF(RegimeExecucao="Global","",ORÇAMENTO.Unidade)</f>
        <v/>
      </c>
      <c r="G41" s="124" t="str">
        <f ca="1">IF(RegimeExecucao="Global","",ORÇAMENTO!T41)</f>
        <v/>
      </c>
      <c r="H41" s="124" t="str">
        <f ca="1">IF(RegimeExecucao="Global","",ORÇAMENTO!W41)</f>
        <v/>
      </c>
      <c r="I41" s="127">
        <f ca="1">ORÇAMENTO!X41</f>
        <v>17543.22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ca="1">L41-J41</f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ca="1">O41-M41</f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ca="1">IF($W41&gt;0,$D41,"")</f>
        <v/>
      </c>
      <c r="U41" s="172" t="str">
        <f ca="1">IF($W41&gt;0,$E41,"")</f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ca="1">AO41-O41</f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 s="577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s="577" customFormat="1" ht="38.25" x14ac:dyDescent="0.2">
      <c r="A42" s="577" t="str">
        <f ca="1">ORÇAMENTO!C42</f>
        <v>S</v>
      </c>
      <c r="B42" s="577">
        <f ca="1">ORÇAMENTO!D42</f>
        <v>0</v>
      </c>
      <c r="C42" s="116" t="str">
        <f ca="1">IF(OR($I42&gt;0,$A42=1,$A42=2,$A42=3,$A42=4),"F","")</f>
        <v>F</v>
      </c>
      <c r="D42" s="119" t="str">
        <f ca="1">ORÇAMENTO!O42</f>
        <v>1.4.8.</v>
      </c>
      <c r="E42" s="172" t="str">
        <f ca="1">ORÇAMENTO.Descricao</f>
        <v>Carga, manobra e descarga de concreto asfáltico com borracha em caminhão basculante de 10 m³ - carga em usina de asfalto 100/140 t/h e descarga em vibroacabadora</v>
      </c>
      <c r="F42" s="173" t="str">
        <f ca="1">IF(RegimeExecucao="Global","",ORÇAMENTO.Unidade)</f>
        <v/>
      </c>
      <c r="G42" s="124" t="str">
        <f ca="1">IF(RegimeExecucao="Global","",ORÇAMENTO!T42)</f>
        <v/>
      </c>
      <c r="H42" s="124" t="str">
        <f ca="1">IF(RegimeExecucao="Global","",ORÇAMENTO!W42)</f>
        <v/>
      </c>
      <c r="I42" s="127">
        <f ca="1">ORÇAMENTO!X42</f>
        <v>6979.96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ca="1">L42-J42</f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ca="1">O42-M42</f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ca="1">IF($W42&gt;0,$D42,"")</f>
        <v/>
      </c>
      <c r="U42" s="172" t="str">
        <f ca="1">IF($W42&gt;0,$E42,"")</f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ca="1">AO42-O42</f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 s="577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25.5" x14ac:dyDescent="0.2">
      <c r="A43" t="str">
        <f ca="1">ORÇAMENTO!C43</f>
        <v>S</v>
      </c>
      <c r="B43">
        <f ca="1">ORÇAMENTO!D43</f>
        <v>0</v>
      </c>
      <c r="C43" s="116" t="str">
        <f t="shared" ca="1" si="1"/>
        <v>F</v>
      </c>
      <c r="D43" s="119" t="str">
        <f ca="1">ORÇAMENTO!O43</f>
        <v>1.4.9.</v>
      </c>
      <c r="E43" s="172" t="str">
        <f t="shared" ca="1" si="2"/>
        <v xml:space="preserve">CIMENTO ASFÁLTICO CAP 50/70 (Base de preço: ANP CAP 50/70 + ICMS (17%) + PIS (0,65%) + COFINS (3%) </v>
      </c>
      <c r="F43" s="173" t="str">
        <f ca="1">IF(RegimeExecucao="Global","",ORÇAMENTO.Unidade)</f>
        <v/>
      </c>
      <c r="G43" s="124" t="str">
        <f ca="1">IF(RegimeExecucao="Global","",ORÇAMENTO!T43)</f>
        <v/>
      </c>
      <c r="H43" s="124" t="str">
        <f ca="1">IF(RegimeExecucao="Global","",ORÇAMENTO!W43)</f>
        <v/>
      </c>
      <c r="I43" s="127">
        <f ca="1">ORÇAMENTO!X43</f>
        <v>184294.86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5.5" x14ac:dyDescent="0.2">
      <c r="A44" t="str">
        <f ca="1">ORÇAMENTO!C44</f>
        <v>S</v>
      </c>
      <c r="B44">
        <f ca="1">ORÇAMENTO!D44</f>
        <v>0</v>
      </c>
      <c r="C44" s="116" t="str">
        <f t="shared" ca="1" si="1"/>
        <v>F</v>
      </c>
      <c r="D44" s="119" t="str">
        <f ca="1">ORÇAMENTO!O44</f>
        <v>1.4.10.</v>
      </c>
      <c r="E44" s="172" t="str">
        <f t="shared" ca="1" si="2"/>
        <v xml:space="preserve">EMULSÃO ASFÁLTICA RR-2C ( Base de preço: ANP EMULSÃO RR-2C + ICMS (17%) + PIS (0,65%) + COFINS (3%) </v>
      </c>
      <c r="F44" s="173" t="str">
        <f ca="1">IF(RegimeExecucao="Global","",ORÇAMENTO.Unidade)</f>
        <v/>
      </c>
      <c r="G44" s="124" t="str">
        <f ca="1">IF(RegimeExecucao="Global","",ORÇAMENTO!T44)</f>
        <v/>
      </c>
      <c r="H44" s="124" t="str">
        <f ca="1">IF(RegimeExecucao="Global","",ORÇAMENTO!W44)</f>
        <v/>
      </c>
      <c r="I44" s="127">
        <f ca="1">ORÇAMENTO!X44</f>
        <v>15770.88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t="shared" ca="1" si="3"/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t="shared" ca="1" si="4"/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t="shared" ca="1" si="5"/>
        <v/>
      </c>
      <c r="U44" s="172" t="str">
        <f t="shared" ca="1" si="6"/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t="shared" ca="1" si="7"/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25.5" x14ac:dyDescent="0.2">
      <c r="A45" t="str">
        <f ca="1">ORÇAMENTO!C45</f>
        <v>S</v>
      </c>
      <c r="B45">
        <f ca="1">ORÇAMENTO!D45</f>
        <v>0</v>
      </c>
      <c r="C45" s="116" t="str">
        <f t="shared" ca="1" si="1"/>
        <v>F</v>
      </c>
      <c r="D45" s="119" t="str">
        <f ca="1">ORÇAMENTO!O45</f>
        <v>1.4.11.</v>
      </c>
      <c r="E45" s="172" t="str">
        <f t="shared" ca="1" si="2"/>
        <v>Transporte de material betuminoso com caminhão tanque distribuidor - rodovia pavimentada</v>
      </c>
      <c r="F45" s="173" t="str">
        <f ca="1">IF(RegimeExecucao="Global","",ORÇAMENTO.Unidade)</f>
        <v/>
      </c>
      <c r="G45" s="124" t="str">
        <f ca="1">IF(RegimeExecucao="Global","",ORÇAMENTO!T45)</f>
        <v/>
      </c>
      <c r="H45" s="124" t="str">
        <f ca="1">IF(RegimeExecucao="Global","",ORÇAMENTO!W45)</f>
        <v/>
      </c>
      <c r="I45" s="127">
        <f ca="1">ORÇAMENTO!X45</f>
        <v>46609.919999999998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x14ac:dyDescent="0.2">
      <c r="A46">
        <f ca="1">ORÇAMENTO!C46</f>
        <v>2</v>
      </c>
      <c r="B46">
        <f ca="1">ORÇAMENTO!D46</f>
        <v>9</v>
      </c>
      <c r="C46" s="116" t="str">
        <f t="shared" ca="1" si="1"/>
        <v>F</v>
      </c>
      <c r="D46" s="119" t="str">
        <f ca="1">ORÇAMENTO!O46</f>
        <v>1.5.</v>
      </c>
      <c r="E46" s="172" t="str">
        <f t="shared" si="2"/>
        <v>SINALIZAÇÃO</v>
      </c>
      <c r="F46" s="173" t="str">
        <f ca="1">IF(RegimeExecucao="Global","",ORÇAMENTO.Unidade)</f>
        <v/>
      </c>
      <c r="G46" s="124" t="str">
        <f ca="1">IF(RegimeExecucao="Global","",ORÇAMENTO!T46)</f>
        <v/>
      </c>
      <c r="H46" s="124" t="str">
        <f ca="1">IF(RegimeExecucao="Global","",ORÇAMENTO!W46)</f>
        <v/>
      </c>
      <c r="I46" s="127">
        <f ca="1">ORÇAMENTO!X46</f>
        <v>14022.73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25.5" x14ac:dyDescent="0.2">
      <c r="A47" t="str">
        <f ca="1">ORÇAMENTO!C47</f>
        <v>S</v>
      </c>
      <c r="B47">
        <f ca="1">ORÇAMENTO!D47</f>
        <v>0</v>
      </c>
      <c r="C47" s="116" t="str">
        <f t="shared" ca="1" si="1"/>
        <v>F</v>
      </c>
      <c r="D47" s="119" t="str">
        <f ca="1">ORÇAMENTO!O47</f>
        <v>1.5.1.</v>
      </c>
      <c r="E47" s="172" t="str">
        <f t="shared" ca="1" si="2"/>
        <v>Placa de advertência em aço, lado de 0,60 m - película retrorrefletiva tipo I + SI - fornecimento e implantação</v>
      </c>
      <c r="F47" s="173" t="str">
        <f ca="1">IF(RegimeExecucao="Global","",ORÇAMENTO.Unidade)</f>
        <v/>
      </c>
      <c r="G47" s="124" t="str">
        <f ca="1">IF(RegimeExecucao="Global","",ORÇAMENTO!T47)</f>
        <v/>
      </c>
      <c r="H47" s="124" t="str">
        <f ca="1">IF(RegimeExecucao="Global","",ORÇAMENTO!W47)</f>
        <v/>
      </c>
      <c r="I47" s="127">
        <f ca="1">ORÇAMENTO!X47</f>
        <v>709.04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25.5" x14ac:dyDescent="0.2">
      <c r="A48" t="str">
        <f ca="1">ORÇAMENTO!C48</f>
        <v>S</v>
      </c>
      <c r="B48">
        <f ca="1">ORÇAMENTO!D48</f>
        <v>0</v>
      </c>
      <c r="C48" s="116" t="str">
        <f ca="1">IF(OR($I48&gt;0,$A48=1,$A48=2,$A48=3,$A48=4),"F","")</f>
        <v>F</v>
      </c>
      <c r="D48" s="119" t="str">
        <f ca="1">ORÇAMENTO!O48</f>
        <v>1.5.2.</v>
      </c>
      <c r="E48" s="172" t="str">
        <f ca="1">ORÇAMENTO.Descricao</f>
        <v>Placa de advertência em aço, lado de 0,80 m - película retrorrefletiva tipo I + SI - fornecimento e implantação</v>
      </c>
      <c r="F48" s="173" t="str">
        <f ca="1">IF(RegimeExecucao="Global","",ORÇAMENTO.Unidade)</f>
        <v/>
      </c>
      <c r="G48" s="124" t="str">
        <f ca="1">IF(RegimeExecucao="Global","",ORÇAMENTO!T48)</f>
        <v/>
      </c>
      <c r="H48" s="124" t="str">
        <f ca="1">IF(RegimeExecucao="Global","",ORÇAMENTO!W48)</f>
        <v/>
      </c>
      <c r="I48" s="127">
        <f ca="1">ORÇAMENTO!X48</f>
        <v>2426.48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ca="1">L48-J48</f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ca="1">O48-M48</f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ca="1">IF($W48&gt;0,$D48,"")</f>
        <v/>
      </c>
      <c r="U48" s="172" t="str">
        <f ca="1">IF($W48&gt;0,$E48,"")</f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ca="1">AO48-O48</f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25.5" x14ac:dyDescent="0.2">
      <c r="A49" t="str">
        <f ca="1">ORÇAMENTO!C49</f>
        <v>S</v>
      </c>
      <c r="B49">
        <f ca="1">ORÇAMENTO!D49</f>
        <v>0</v>
      </c>
      <c r="C49" s="116" t="str">
        <f t="shared" ca="1" si="1"/>
        <v>F</v>
      </c>
      <c r="D49" s="119" t="str">
        <f ca="1">ORÇAMENTO!O49</f>
        <v>1.5.3.</v>
      </c>
      <c r="E49" s="172" t="str">
        <f t="shared" ca="1" si="2"/>
        <v>Placa em aço nº 16 galvanizado com película retrorrefletiva tipo I + SI - confecção</v>
      </c>
      <c r="F49" s="173" t="str">
        <f ca="1">IF(RegimeExecucao="Global","",ORÇAMENTO.Unidade)</f>
        <v/>
      </c>
      <c r="G49" s="124" t="str">
        <f ca="1">IF(RegimeExecucao="Global","",ORÇAMENTO!T49)</f>
        <v/>
      </c>
      <c r="H49" s="124" t="str">
        <f ca="1">IF(RegimeExecucao="Global","",ORÇAMENTO!W49)</f>
        <v/>
      </c>
      <c r="I49" s="127">
        <f ca="1">ORÇAMENTO!X49</f>
        <v>580.45000000000005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ht="25.5" x14ac:dyDescent="0.2">
      <c r="A50" t="str">
        <f ca="1">ORÇAMENTO!C50</f>
        <v>S</v>
      </c>
      <c r="B50">
        <f ca="1">ORÇAMENTO!D50</f>
        <v>0</v>
      </c>
      <c r="C50" s="116" t="str">
        <f t="shared" ca="1" si="1"/>
        <v>F</v>
      </c>
      <c r="D50" s="119" t="str">
        <f ca="1">ORÇAMENTO!O50</f>
        <v>1.5.4.</v>
      </c>
      <c r="E50" s="172" t="str">
        <f t="shared" ca="1" si="2"/>
        <v>Placa de regulamentação em aço D = 0,60 m - película retrorrefletiva tipo I + SI - fornecimento e implantação</v>
      </c>
      <c r="F50" s="173" t="str">
        <f ca="1">IF(RegimeExecucao="Global","",ORÇAMENTO.Unidade)</f>
        <v/>
      </c>
      <c r="G50" s="124" t="str">
        <f ca="1">IF(RegimeExecucao="Global","",ORÇAMENTO!T50)</f>
        <v/>
      </c>
      <c r="H50" s="124" t="str">
        <f ca="1">IF(RegimeExecucao="Global","",ORÇAMENTO!W50)</f>
        <v/>
      </c>
      <c r="I50" s="127">
        <f ca="1">ORÇAMENTO!X50</f>
        <v>708.96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t="shared" ca="1" si="3"/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t="shared" ca="1" si="4"/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t="shared" ca="1" si="5"/>
        <v/>
      </c>
      <c r="U50" s="172" t="str">
        <f t="shared" ca="1" si="6"/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t="shared" ca="1" si="7"/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25.5" x14ac:dyDescent="0.2">
      <c r="A51" t="str">
        <f ca="1">ORÇAMENTO!C51</f>
        <v>S</v>
      </c>
      <c r="B51">
        <f ca="1">ORÇAMENTO!D51</f>
        <v>0</v>
      </c>
      <c r="C51" s="116" t="str">
        <f t="shared" ca="1" si="1"/>
        <v>F</v>
      </c>
      <c r="D51" s="119" t="str">
        <f ca="1">ORÇAMENTO!O51</f>
        <v>1.5.5.</v>
      </c>
      <c r="E51" s="172" t="str">
        <f t="shared" ca="1" si="2"/>
        <v>Placa de regulamentação em aço, R2 lado 0,60 m - película retrorrefletiva tipo I + SI - fornecimento e implantação</v>
      </c>
      <c r="F51" s="173" t="str">
        <f ca="1">IF(RegimeExecucao="Global","",ORÇAMENTO.Unidade)</f>
        <v/>
      </c>
      <c r="G51" s="124" t="str">
        <f ca="1">IF(RegimeExecucao="Global","",ORÇAMENTO!T51)</f>
        <v/>
      </c>
      <c r="H51" s="124" t="str">
        <f ca="1">IF(RegimeExecucao="Global","",ORÇAMENTO!W51)</f>
        <v/>
      </c>
      <c r="I51" s="127">
        <f ca="1">ORÇAMENTO!X51</f>
        <v>489.54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ca="1" si="3"/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ca="1" si="4"/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ca="1" si="5"/>
        <v/>
      </c>
      <c r="U51" s="172" t="str">
        <f t="shared" ca="1" si="6"/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ca="1" si="7"/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25.5" x14ac:dyDescent="0.2">
      <c r="A52" t="str">
        <f ca="1">ORÇAMENTO!C52</f>
        <v>S</v>
      </c>
      <c r="B52">
        <f ca="1">ORÇAMENTO!D52</f>
        <v>0</v>
      </c>
      <c r="C52" s="116" t="str">
        <f t="shared" ca="1" si="1"/>
        <v>F</v>
      </c>
      <c r="D52" s="119" t="str">
        <f ca="1">ORÇAMENTO!O52</f>
        <v>1.5.6.</v>
      </c>
      <c r="E52" s="172" t="str">
        <f t="shared" ca="1" si="2"/>
        <v>Placa de regulamentação em aço, R1 lado 0,248 m - película retrorrefletiva tipo I + SI - fornecimento e implantação</v>
      </c>
      <c r="F52" s="173" t="str">
        <f ca="1">IF(RegimeExecucao="Global","",ORÇAMENTO.Unidade)</f>
        <v/>
      </c>
      <c r="G52" s="124" t="str">
        <f ca="1">IF(RegimeExecucao="Global","",ORÇAMENTO!T52)</f>
        <v/>
      </c>
      <c r="H52" s="124" t="str">
        <f ca="1">IF(RegimeExecucao="Global","",ORÇAMENTO!W52)</f>
        <v/>
      </c>
      <c r="I52" s="127">
        <f ca="1">ORÇAMENTO!X52</f>
        <v>354.56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3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4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5"/>
        <v/>
      </c>
      <c r="U52" s="172" t="str">
        <f t="shared" ca="1" si="6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7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38.25" x14ac:dyDescent="0.2">
      <c r="A53" t="str">
        <f ca="1">ORÇAMENTO!C53</f>
        <v>S</v>
      </c>
      <c r="B53">
        <f ca="1">ORÇAMENTO!D53</f>
        <v>0</v>
      </c>
      <c r="C53" s="116" t="str">
        <f ca="1">IF(OR($I53&gt;0,$A53=1,$A53=2,$A53=3,$A53=4),"F","")</f>
        <v>F</v>
      </c>
      <c r="D53" s="119" t="str">
        <f ca="1">ORÇAMENTO!O53</f>
        <v>1.5.7.</v>
      </c>
      <c r="E53" s="172" t="str">
        <f ca="1">ORÇAMENTO.Descricao</f>
        <v>Suporte metálico galvanizado para placa de advertência ou regulamentação - lado ou diâmetro de 0,60 m - fornecimento e implantação</v>
      </c>
      <c r="F53" s="173" t="str">
        <f ca="1">IF(RegimeExecucao="Global","",ORÇAMENTO.Unidade)</f>
        <v/>
      </c>
      <c r="G53" s="124" t="str">
        <f ca="1">IF(RegimeExecucao="Global","",ORÇAMENTO!T53)</f>
        <v/>
      </c>
      <c r="H53" s="124" t="str">
        <f ca="1">IF(RegimeExecucao="Global","",ORÇAMENTO!W53)</f>
        <v/>
      </c>
      <c r="I53" s="127">
        <f ca="1">ORÇAMENTO!X53</f>
        <v>7362.12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ca="1">L53-J53</f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ca="1">O53-M53</f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ca="1">IF($W53&gt;0,$D53,"")</f>
        <v/>
      </c>
      <c r="U53" s="172" t="str">
        <f ca="1">IF($W53&gt;0,$E53,"")</f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ca="1">AO53-O53</f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x14ac:dyDescent="0.2">
      <c r="A54" t="str">
        <f ca="1">ORÇAMENTO!C54</f>
        <v>S</v>
      </c>
      <c r="B54">
        <f ca="1">ORÇAMENTO!D54</f>
        <v>0</v>
      </c>
      <c r="C54" s="116" t="str">
        <f t="shared" ca="1" si="1"/>
        <v>F</v>
      </c>
      <c r="D54" s="119" t="str">
        <f ca="1">ORÇAMENTO!O54</f>
        <v>1.5.8.</v>
      </c>
      <c r="E54" s="172" t="str">
        <f t="shared" ca="1" si="2"/>
        <v>Pintura de faixa com tinta acrílica - espessura de 0,6 mm</v>
      </c>
      <c r="F54" s="173" t="str">
        <f ca="1">IF(RegimeExecucao="Global","",ORÇAMENTO.Unidade)</f>
        <v/>
      </c>
      <c r="G54" s="124" t="str">
        <f ca="1">IF(RegimeExecucao="Global","",ORÇAMENTO!T54)</f>
        <v/>
      </c>
      <c r="H54" s="124" t="str">
        <f ca="1">IF(RegimeExecucao="Global","",ORÇAMENTO!W54)</f>
        <v/>
      </c>
      <c r="I54" s="127">
        <f ca="1">ORÇAMENTO!X54</f>
        <v>1391.58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t="shared" ca="1" si="3"/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t="shared" ca="1" si="4"/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t="shared" ca="1" si="5"/>
        <v/>
      </c>
      <c r="U54" s="172" t="str">
        <f t="shared" ca="1" si="6"/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t="shared" ca="1" si="7"/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x14ac:dyDescent="0.2">
      <c r="A55">
        <f ca="1">ORÇAMENTO!C55</f>
        <v>1</v>
      </c>
      <c r="B55">
        <f ca="1">ORÇAMENTO!D55</f>
        <v>32</v>
      </c>
      <c r="C55" s="116" t="str">
        <f t="shared" ca="1" si="1"/>
        <v>F</v>
      </c>
      <c r="D55" s="119" t="str">
        <f ca="1">ORÇAMENTO!O55</f>
        <v>2.</v>
      </c>
      <c r="E55" s="172" t="str">
        <f t="shared" si="2"/>
        <v>TRECHO 2 - Rua Presidente Castelo Branco e Travessa Dom Pedro II</v>
      </c>
      <c r="F55" s="173" t="str">
        <f ca="1">IF(RegimeExecucao="Global","",ORÇAMENTO.Unidade)</f>
        <v/>
      </c>
      <c r="G55" s="124" t="str">
        <f ca="1">IF(RegimeExecucao="Global","",ORÇAMENTO!T55)</f>
        <v/>
      </c>
      <c r="H55" s="124" t="str">
        <f ca="1">IF(RegimeExecucao="Global","",ORÇAMENTO!W55)</f>
        <v/>
      </c>
      <c r="I55" s="127">
        <f ca="1">ORÇAMENTO!X55</f>
        <v>492496.24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ca="1" si="3"/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ca="1" si="4"/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ca="1" si="5"/>
        <v/>
      </c>
      <c r="U55" s="172" t="str">
        <f t="shared" ca="1" si="6"/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ca="1" si="7"/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x14ac:dyDescent="0.2">
      <c r="A56">
        <f ca="1">ORÇAMENTO!C56</f>
        <v>2</v>
      </c>
      <c r="B56">
        <f ca="1">ORÇAMENTO!D56</f>
        <v>4</v>
      </c>
      <c r="C56" s="116" t="str">
        <f t="shared" ca="1" si="1"/>
        <v>F</v>
      </c>
      <c r="D56" s="119" t="str">
        <f ca="1">ORÇAMENTO!O56</f>
        <v>2.1.</v>
      </c>
      <c r="E56" s="172" t="str">
        <f t="shared" si="2"/>
        <v xml:space="preserve">SERVIÇOS INICIAIS </v>
      </c>
      <c r="F56" s="173" t="str">
        <f ca="1">IF(RegimeExecucao="Global","",ORÇAMENTO.Unidade)</f>
        <v/>
      </c>
      <c r="G56" s="124" t="str">
        <f ca="1">IF(RegimeExecucao="Global","",ORÇAMENTO!T56)</f>
        <v/>
      </c>
      <c r="H56" s="124" t="str">
        <f ca="1">IF(RegimeExecucao="Global","",ORÇAMENTO!W56)</f>
        <v/>
      </c>
      <c r="I56" s="127">
        <f ca="1">ORÇAMENTO!X56</f>
        <v>8049.5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3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4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5"/>
        <v/>
      </c>
      <c r="U56" s="172" t="str">
        <f t="shared" ca="1" si="6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7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25.5" x14ac:dyDescent="0.2">
      <c r="A57" t="str">
        <f ca="1">ORÇAMENTO!C57</f>
        <v>S</v>
      </c>
      <c r="B57">
        <f ca="1">ORÇAMENTO!D57</f>
        <v>0</v>
      </c>
      <c r="C57" s="116" t="str">
        <f t="shared" ca="1" si="1"/>
        <v>F</v>
      </c>
      <c r="D57" s="119" t="str">
        <f ca="1">ORÇAMENTO!O57</f>
        <v>2.1.1.</v>
      </c>
      <c r="E57" s="172" t="str">
        <f t="shared" ca="1" si="2"/>
        <v>Placa em aço - 3,00 x 1,50 m - película retrorrefletiva tipo I + I - fornecimento e implantação</v>
      </c>
      <c r="F57" s="173" t="str">
        <f ca="1">IF(RegimeExecucao="Global","",ORÇAMENTO.Unidade)</f>
        <v/>
      </c>
      <c r="G57" s="124" t="str">
        <f ca="1">IF(RegimeExecucao="Global","",ORÇAMENTO!T57)</f>
        <v/>
      </c>
      <c r="H57" s="124" t="str">
        <f ca="1">IF(RegimeExecucao="Global","",ORÇAMENTO!W57)</f>
        <v/>
      </c>
      <c r="I57" s="127">
        <f ca="1">ORÇAMENTO!X57</f>
        <v>2342.1999999999998</v>
      </c>
      <c r="J57" s="378">
        <f ca="1">IF($A57="S",IF(CAIXA.Modo,BM.AFAnterior,BM.MEDAnterior),IF(AND(RegimeExecucao="Global",$I57&gt;0,COUNTIF($AB$13:$AM$13,BM.medicao-1)&gt;0),M57/$I57*100,0))</f>
        <v>0</v>
      </c>
      <c r="K57" s="124">
        <f t="shared" ca="1" si="3"/>
        <v>0</v>
      </c>
      <c r="L57" s="379">
        <f ca="1">IF($A57="S",IF(CAIXA.Modo,BM.AFAcumulado,BM.MEDAcumulado),IF(AND(RegimeExecucao="Global",$I57&gt;0,COUNTIF($AB$13:$AM$13,BM.medicao)&gt;0),O57/$I57*100,0))</f>
        <v>0</v>
      </c>
      <c r="M57" s="380">
        <f ca="1">IF($A57="S",VTOTALBM,IF($A57=0,0,ROUND(SomaAgrupBM,15-13*ORÇAMENTO!$AF$11)))</f>
        <v>0</v>
      </c>
      <c r="N57" s="381">
        <f t="shared" ca="1" si="4"/>
        <v>0</v>
      </c>
      <c r="O57" s="127">
        <f ca="1">IF($A57="S",VTOTALBM,IF($A57=0,0,ROUND(SomaAgrupBM,15-13*ORÇAMENTO!$AF$11)))</f>
        <v>0</v>
      </c>
      <c r="Q57" s="382"/>
      <c r="R57" s="383"/>
      <c r="T57" s="119" t="str">
        <f t="shared" ca="1" si="5"/>
        <v/>
      </c>
      <c r="U57" s="172" t="str">
        <f t="shared" ca="1" si="6"/>
        <v/>
      </c>
      <c r="V57" s="173" t="str">
        <f ca="1">IF(AND($W57&gt;0,RegimeExecucao="Unitário"),$F57,"")</f>
        <v/>
      </c>
      <c r="W57" s="547">
        <f ca="1">IF($Y57&gt;0,CHOOSE(MATCH(RegimeExecucao,{"Unitário","Global"},0),IF($A57="S",$Y57/$X57,""),($Y57/$X57)*100),0)</f>
        <v>0</v>
      </c>
      <c r="X57" s="384" t="str">
        <f ca="1">IF($Y57&gt;0,CHOOSE(MATCH(RegimeExecucao,{"Unitário","Global"},0),IF($A57="S",ROUND($H57,ORÇAMENTO!$AF$10),""),ROUND($I57,ORÇAMENTO!$AF$11)),"")</f>
        <v/>
      </c>
      <c r="Y57" s="384">
        <f t="shared" ca="1" si="7"/>
        <v>0</v>
      </c>
      <c r="Z57" s="572"/>
      <c r="AB57" s="382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383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s="577" customFormat="1" ht="25.5" x14ac:dyDescent="0.2">
      <c r="A58" s="577" t="str">
        <f ca="1">ORÇAMENTO!C58</f>
        <v>S</v>
      </c>
      <c r="B58" s="577">
        <f ca="1">ORÇAMENTO!D58</f>
        <v>0</v>
      </c>
      <c r="C58" s="116" t="str">
        <f ca="1">IF(OR($I58&gt;0,$A58=1,$A58=2,$A58=3,$A58=4),"F","")</f>
        <v>F</v>
      </c>
      <c r="D58" s="119" t="str">
        <f ca="1">ORÇAMENTO!O58</f>
        <v>2.1.2.</v>
      </c>
      <c r="E58" s="172" t="str">
        <f ca="1">ORÇAMENTO.Descricao</f>
        <v>Suporte para placa de sinalização em madeira de lei tratada 8 x 8 cm - fornecimento e implantação</v>
      </c>
      <c r="F58" s="173" t="str">
        <f ca="1">IF(RegimeExecucao="Global","",ORÇAMENTO.Unidade)</f>
        <v/>
      </c>
      <c r="G58" s="124" t="str">
        <f ca="1">IF(RegimeExecucao="Global","",ORÇAMENTO!T58)</f>
        <v/>
      </c>
      <c r="H58" s="124" t="str">
        <f ca="1">IF(RegimeExecucao="Global","",ORÇAMENTO!W58)</f>
        <v/>
      </c>
      <c r="I58" s="127">
        <f ca="1">ORÇAMENTO!X58</f>
        <v>167.78</v>
      </c>
      <c r="J58" s="378">
        <f ca="1">IF($A58="S",IF(CAIXA.Modo,BM.AFAnterior,BM.MEDAnterior),IF(AND(RegimeExecucao="Global",$I58&gt;0,COUNTIF($AB$13:$AM$13,BM.medicao-1)&gt;0),M58/$I58*100,0))</f>
        <v>0</v>
      </c>
      <c r="K58" s="124">
        <f ca="1">L58-J58</f>
        <v>0</v>
      </c>
      <c r="L58" s="379">
        <f ca="1">IF($A58="S",IF(CAIXA.Modo,BM.AFAcumulado,BM.MEDAcumulado),IF(AND(RegimeExecucao="Global",$I58&gt;0,COUNTIF($AB$13:$AM$13,BM.medicao)&gt;0),O58/$I58*100,0))</f>
        <v>0</v>
      </c>
      <c r="M58" s="380">
        <f ca="1">IF($A58="S",VTOTALBM,IF($A58=0,0,ROUND(SomaAgrupBM,15-13*ORÇAMENTO!$AF$11)))</f>
        <v>0</v>
      </c>
      <c r="N58" s="381">
        <f ca="1">O58-M58</f>
        <v>0</v>
      </c>
      <c r="O58" s="127">
        <f ca="1">IF($A58="S",VTOTALBM,IF($A58=0,0,ROUND(SomaAgrupBM,15-13*ORÇAMENTO!$AF$11)))</f>
        <v>0</v>
      </c>
      <c r="Q58" s="382"/>
      <c r="R58" s="383"/>
      <c r="T58" s="119" t="str">
        <f ca="1">IF($W58&gt;0,$D58,"")</f>
        <v/>
      </c>
      <c r="U58" s="172" t="str">
        <f ca="1">IF($W58&gt;0,$E58,"")</f>
        <v/>
      </c>
      <c r="V58" s="173" t="str">
        <f ca="1">IF(AND($W58&gt;0,RegimeExecucao="Unitário"),$F58,"")</f>
        <v/>
      </c>
      <c r="W58" s="547">
        <f ca="1">IF($Y58&gt;0,CHOOSE(MATCH(RegimeExecucao,{"Unitário","Global"},0),IF($A58="S",$Y58/$X58,""),($Y58/$X58)*100),0)</f>
        <v>0</v>
      </c>
      <c r="X58" s="384" t="str">
        <f ca="1">IF($Y58&gt;0,CHOOSE(MATCH(RegimeExecucao,{"Unitário","Global"},0),IF($A58="S",ROUND($H58,ORÇAMENTO!$AF$10),""),ROUND($I58,ORÇAMENTO!$AF$11)),"")</f>
        <v/>
      </c>
      <c r="Y58" s="384">
        <f ca="1">AO58-O58</f>
        <v>0</v>
      </c>
      <c r="Z58" s="572"/>
      <c r="AB58" s="382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383"/>
      <c r="AO58" s="577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s="577" customFormat="1" x14ac:dyDescent="0.2">
      <c r="A59" s="577" t="str">
        <f ca="1">ORÇAMENTO!C59</f>
        <v>S</v>
      </c>
      <c r="B59" s="577">
        <f ca="1">ORÇAMENTO!D59</f>
        <v>0</v>
      </c>
      <c r="C59" s="116" t="str">
        <f ca="1">IF(OR($I59&gt;0,$A59=1,$A59=2,$A59=3,$A59=4),"F","")</f>
        <v>F</v>
      </c>
      <c r="D59" s="119" t="str">
        <f ca="1">ORÇAMENTO!O59</f>
        <v>2.1.3.</v>
      </c>
      <c r="E59" s="172" t="str">
        <f ca="1">ORÇAMENTO.Descricao</f>
        <v xml:space="preserve">MOBILIZAÇÃO E DESMOBILIZAÇÃO </v>
      </c>
      <c r="F59" s="173" t="str">
        <f ca="1">IF(RegimeExecucao="Global","",ORÇAMENTO.Unidade)</f>
        <v/>
      </c>
      <c r="G59" s="124" t="str">
        <f ca="1">IF(RegimeExecucao="Global","",ORÇAMENTO!T59)</f>
        <v/>
      </c>
      <c r="H59" s="124" t="str">
        <f ca="1">IF(RegimeExecucao="Global","",ORÇAMENTO!W59)</f>
        <v/>
      </c>
      <c r="I59" s="127">
        <f ca="1">ORÇAMENTO!X59</f>
        <v>5539.52</v>
      </c>
      <c r="J59" s="378">
        <f ca="1">IF($A59="S",IF(CAIXA.Modo,BM.AFAnterior,BM.MEDAnterior),IF(AND(RegimeExecucao="Global",$I59&gt;0,COUNTIF($AB$13:$AM$13,BM.medicao-1)&gt;0),M59/$I59*100,0))</f>
        <v>0</v>
      </c>
      <c r="K59" s="124">
        <f ca="1">L59-J59</f>
        <v>0</v>
      </c>
      <c r="L59" s="379">
        <f ca="1">IF($A59="S",IF(CAIXA.Modo,BM.AFAcumulado,BM.MEDAcumulado),IF(AND(RegimeExecucao="Global",$I59&gt;0,COUNTIF($AB$13:$AM$13,BM.medicao)&gt;0),O59/$I59*100,0))</f>
        <v>0</v>
      </c>
      <c r="M59" s="380">
        <f ca="1">IF($A59="S",VTOTALBM,IF($A59=0,0,ROUND(SomaAgrupBM,15-13*ORÇAMENTO!$AF$11)))</f>
        <v>0</v>
      </c>
      <c r="N59" s="381">
        <f ca="1">O59-M59</f>
        <v>0</v>
      </c>
      <c r="O59" s="127">
        <f ca="1">IF($A59="S",VTOTALBM,IF($A59=0,0,ROUND(SomaAgrupBM,15-13*ORÇAMENTO!$AF$11)))</f>
        <v>0</v>
      </c>
      <c r="Q59" s="382"/>
      <c r="R59" s="383"/>
      <c r="T59" s="119" t="str">
        <f ca="1">IF($W59&gt;0,$D59,"")</f>
        <v/>
      </c>
      <c r="U59" s="172" t="str">
        <f ca="1">IF($W59&gt;0,$E59,"")</f>
        <v/>
      </c>
      <c r="V59" s="173" t="str">
        <f ca="1">IF(AND($W59&gt;0,RegimeExecucao="Unitário"),$F59,"")</f>
        <v/>
      </c>
      <c r="W59" s="547">
        <f ca="1">IF($Y59&gt;0,CHOOSE(MATCH(RegimeExecucao,{"Unitário","Global"},0),IF($A59="S",$Y59/$X59,""),($Y59/$X59)*100),0)</f>
        <v>0</v>
      </c>
      <c r="X59" s="384" t="str">
        <f ca="1">IF($Y59&gt;0,CHOOSE(MATCH(RegimeExecucao,{"Unitário","Global"},0),IF($A59="S",ROUND($H59,ORÇAMENTO!$AF$10),""),ROUND($I59,ORÇAMENTO!$AF$11)),"")</f>
        <v/>
      </c>
      <c r="Y59" s="384">
        <f ca="1">AO59-O59</f>
        <v>0</v>
      </c>
      <c r="Z59" s="572"/>
      <c r="AB59" s="382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383"/>
      <c r="AO59" s="577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x14ac:dyDescent="0.2">
      <c r="A60">
        <f ca="1">ORÇAMENTO!C60</f>
        <v>2</v>
      </c>
      <c r="B60">
        <f ca="1">ORÇAMENTO!D60</f>
        <v>4</v>
      </c>
      <c r="C60" s="116" t="str">
        <f t="shared" ca="1" si="1"/>
        <v>F</v>
      </c>
      <c r="D60" s="119" t="str">
        <f ca="1">ORÇAMENTO!O60</f>
        <v>2.2.</v>
      </c>
      <c r="E60" s="172" t="str">
        <f t="shared" si="2"/>
        <v>ADMINISTRAÇÃO LOCAL</v>
      </c>
      <c r="F60" s="173" t="str">
        <f ca="1">IF(RegimeExecucao="Global","",ORÇAMENTO.Unidade)</f>
        <v/>
      </c>
      <c r="G60" s="124" t="str">
        <f ca="1">IF(RegimeExecucao="Global","",ORÇAMENTO!T60)</f>
        <v/>
      </c>
      <c r="H60" s="124" t="str">
        <f ca="1">IF(RegimeExecucao="Global","",ORÇAMENTO!W60)</f>
        <v/>
      </c>
      <c r="I60" s="127">
        <f ca="1">ORÇAMENTO!X60</f>
        <v>4969.3999999999996</v>
      </c>
      <c r="J60" s="378">
        <f ca="1">IF($A60="S",IF(CAIXA.Modo,BM.AFAnterior,BM.MEDAnterior),IF(AND(RegimeExecucao="Global",$I60&gt;0,COUNTIF($AB$13:$AM$13,BM.medicao-1)&gt;0),M60/$I60*100,0))</f>
        <v>0</v>
      </c>
      <c r="K60" s="124">
        <f t="shared" ca="1" si="3"/>
        <v>0</v>
      </c>
      <c r="L60" s="379">
        <f ca="1">IF($A60="S",IF(CAIXA.Modo,BM.AFAcumulado,BM.MEDAcumulado),IF(AND(RegimeExecucao="Global",$I60&gt;0,COUNTIF($AB$13:$AM$13,BM.medicao)&gt;0),O60/$I60*100,0))</f>
        <v>0</v>
      </c>
      <c r="M60" s="380">
        <f ca="1">IF($A60="S",VTOTALBM,IF($A60=0,0,ROUND(SomaAgrupBM,15-13*ORÇAMENTO!$AF$11)))</f>
        <v>0</v>
      </c>
      <c r="N60" s="381">
        <f t="shared" ca="1" si="4"/>
        <v>0</v>
      </c>
      <c r="O60" s="127">
        <f ca="1">IF($A60="S",VTOTALBM,IF($A60=0,0,ROUND(SomaAgrupBM,15-13*ORÇAMENTO!$AF$11)))</f>
        <v>0</v>
      </c>
      <c r="Q60" s="382"/>
      <c r="R60" s="383"/>
      <c r="T60" s="119" t="str">
        <f t="shared" ca="1" si="5"/>
        <v/>
      </c>
      <c r="U60" s="172" t="str">
        <f t="shared" ca="1" si="6"/>
        <v/>
      </c>
      <c r="V60" s="173" t="str">
        <f ca="1">IF(AND($W60&gt;0,RegimeExecucao="Unitário"),$F60,"")</f>
        <v/>
      </c>
      <c r="W60" s="547">
        <f ca="1">IF($Y60&gt;0,CHOOSE(MATCH(RegimeExecucao,{"Unitário","Global"},0),IF($A60="S",$Y60/$X60,""),($Y60/$X60)*100),0)</f>
        <v>0</v>
      </c>
      <c r="X60" s="384" t="str">
        <f ca="1">IF($Y60&gt;0,CHOOSE(MATCH(RegimeExecucao,{"Unitário","Global"},0),IF($A60="S",ROUND($H60,ORÇAMENTO!$AF$10),""),ROUND($I60,ORÇAMENTO!$AF$11)),"")</f>
        <v/>
      </c>
      <c r="Y60" s="384">
        <f t="shared" ca="1" si="7"/>
        <v>0</v>
      </c>
      <c r="Z60" s="572"/>
      <c r="AB60" s="382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383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x14ac:dyDescent="0.2">
      <c r="A61" t="str">
        <f ca="1">ORÇAMENTO!C61</f>
        <v>S</v>
      </c>
      <c r="B61">
        <f ca="1">ORÇAMENTO!D61</f>
        <v>0</v>
      </c>
      <c r="C61" s="116" t="str">
        <f t="shared" ca="1" si="1"/>
        <v>F</v>
      </c>
      <c r="D61" s="119" t="str">
        <f ca="1">ORÇAMENTO!O61</f>
        <v>2.2.1.</v>
      </c>
      <c r="E61" s="172" t="str">
        <f t="shared" ca="1" si="2"/>
        <v>Engenheiro</v>
      </c>
      <c r="F61" s="173" t="str">
        <f ca="1">IF(RegimeExecucao="Global","",ORÇAMENTO.Unidade)</f>
        <v/>
      </c>
      <c r="G61" s="124" t="str">
        <f ca="1">IF(RegimeExecucao="Global","",ORÇAMENTO!T61)</f>
        <v/>
      </c>
      <c r="H61" s="124" t="str">
        <f ca="1">IF(RegimeExecucao="Global","",ORÇAMENTO!W61)</f>
        <v/>
      </c>
      <c r="I61" s="127">
        <f ca="1">ORÇAMENTO!X61</f>
        <v>1987.4</v>
      </c>
      <c r="J61" s="378">
        <f ca="1">IF($A61="S",IF(CAIXA.Modo,BM.AFAnterior,BM.MEDAnterior),IF(AND(RegimeExecucao="Global",$I61&gt;0,COUNTIF($AB$13:$AM$13,BM.medicao-1)&gt;0),M61/$I61*100,0))</f>
        <v>0</v>
      </c>
      <c r="K61" s="124">
        <f t="shared" ca="1" si="3"/>
        <v>0</v>
      </c>
      <c r="L61" s="379">
        <f ca="1">IF($A61="S",IF(CAIXA.Modo,BM.AFAcumulado,BM.MEDAcumulado),IF(AND(RegimeExecucao="Global",$I61&gt;0,COUNTIF($AB$13:$AM$13,BM.medicao)&gt;0),O61/$I61*100,0))</f>
        <v>0</v>
      </c>
      <c r="M61" s="380">
        <f ca="1">IF($A61="S",VTOTALBM,IF($A61=0,0,ROUND(SomaAgrupBM,15-13*ORÇAMENTO!$AF$11)))</f>
        <v>0</v>
      </c>
      <c r="N61" s="381">
        <f t="shared" ca="1" si="4"/>
        <v>0</v>
      </c>
      <c r="O61" s="127">
        <f ca="1">IF($A61="S",VTOTALBM,IF($A61=0,0,ROUND(SomaAgrupBM,15-13*ORÇAMENTO!$AF$11)))</f>
        <v>0</v>
      </c>
      <c r="Q61" s="382"/>
      <c r="R61" s="383"/>
      <c r="T61" s="119" t="str">
        <f t="shared" ca="1" si="5"/>
        <v/>
      </c>
      <c r="U61" s="172" t="str">
        <f t="shared" ca="1" si="6"/>
        <v/>
      </c>
      <c r="V61" s="173" t="str">
        <f ca="1">IF(AND($W61&gt;0,RegimeExecucao="Unitário"),$F61,"")</f>
        <v/>
      </c>
      <c r="W61" s="547">
        <f ca="1">IF($Y61&gt;0,CHOOSE(MATCH(RegimeExecucao,{"Unitário","Global"},0),IF($A61="S",$Y61/$X61,""),($Y61/$X61)*100),0)</f>
        <v>0</v>
      </c>
      <c r="X61" s="384" t="str">
        <f ca="1">IF($Y61&gt;0,CHOOSE(MATCH(RegimeExecucao,{"Unitário","Global"},0),IF($A61="S",ROUND($H61,ORÇAMENTO!$AF$10),""),ROUND($I61,ORÇAMENTO!$AF$11)),"")</f>
        <v/>
      </c>
      <c r="Y61" s="384">
        <f t="shared" ca="1" si="7"/>
        <v>0</v>
      </c>
      <c r="Z61" s="572"/>
      <c r="AB61" s="382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383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s="577" customFormat="1" x14ac:dyDescent="0.2">
      <c r="A62" s="577" t="str">
        <f ca="1">ORÇAMENTO!C62</f>
        <v>S</v>
      </c>
      <c r="B62" s="577">
        <f ca="1">ORÇAMENTO!D62</f>
        <v>0</v>
      </c>
      <c r="C62" s="116" t="str">
        <f t="shared" ca="1" si="1"/>
        <v>F</v>
      </c>
      <c r="D62" s="119" t="str">
        <f ca="1">ORÇAMENTO!O62</f>
        <v>2.2.2.</v>
      </c>
      <c r="E62" s="172" t="str">
        <f t="shared" ca="1" si="2"/>
        <v>Encarregado de pavimentação</v>
      </c>
      <c r="F62" s="173" t="str">
        <f ca="1">IF(RegimeExecucao="Global","",ORÇAMENTO.Unidade)</f>
        <v/>
      </c>
      <c r="G62" s="124" t="str">
        <f ca="1">IF(RegimeExecucao="Global","",ORÇAMENTO!T62)</f>
        <v/>
      </c>
      <c r="H62" s="124" t="str">
        <f ca="1">IF(RegimeExecucao="Global","",ORÇAMENTO!W62)</f>
        <v/>
      </c>
      <c r="I62" s="127">
        <f ca="1">ORÇAMENTO!X62</f>
        <v>2288.4</v>
      </c>
      <c r="J62" s="378">
        <f ca="1">IF($A62="S",IF(CAIXA.Modo,BM.AFAnterior,BM.MEDAnterior),IF(AND(RegimeExecucao="Global",$I62&gt;0,COUNTIF($AB$13:$AM$13,BM.medicao-1)&gt;0),M62/$I62*100,0))</f>
        <v>0</v>
      </c>
      <c r="K62" s="124">
        <f t="shared" ca="1" si="3"/>
        <v>0</v>
      </c>
      <c r="L62" s="379">
        <f ca="1">IF($A62="S",IF(CAIXA.Modo,BM.AFAcumulado,BM.MEDAcumulado),IF(AND(RegimeExecucao="Global",$I62&gt;0,COUNTIF($AB$13:$AM$13,BM.medicao)&gt;0),O62/$I62*100,0))</f>
        <v>0</v>
      </c>
      <c r="M62" s="380">
        <f ca="1">IF($A62="S",VTOTALBM,IF($A62=0,0,ROUND(SomaAgrupBM,15-13*ORÇAMENTO!$AF$11)))</f>
        <v>0</v>
      </c>
      <c r="N62" s="381">
        <f t="shared" ca="1" si="4"/>
        <v>0</v>
      </c>
      <c r="O62" s="127">
        <f ca="1">IF($A62="S",VTOTALBM,IF($A62=0,0,ROUND(SomaAgrupBM,15-13*ORÇAMENTO!$AF$11)))</f>
        <v>0</v>
      </c>
      <c r="Q62" s="382"/>
      <c r="R62" s="383"/>
      <c r="T62" s="119" t="str">
        <f t="shared" ca="1" si="5"/>
        <v/>
      </c>
      <c r="U62" s="172" t="str">
        <f t="shared" ca="1" si="6"/>
        <v/>
      </c>
      <c r="V62" s="173" t="str">
        <f ca="1">IF(AND($W62&gt;0,RegimeExecucao="Unitário"),$F62,"")</f>
        <v/>
      </c>
      <c r="W62" s="547">
        <f ca="1">IF($Y62&gt;0,CHOOSE(MATCH(RegimeExecucao,{"Unitário","Global"},0),IF($A62="S",$Y62/$X62,""),($Y62/$X62)*100),0)</f>
        <v>0</v>
      </c>
      <c r="X62" s="384" t="str">
        <f ca="1">IF($Y62&gt;0,CHOOSE(MATCH(RegimeExecucao,{"Unitário","Global"},0),IF($A62="S",ROUND($H62,ORÇAMENTO!$AF$10),""),ROUND($I62,ORÇAMENTO!$AF$11)),"")</f>
        <v/>
      </c>
      <c r="Y62" s="384">
        <f t="shared" ca="1" si="7"/>
        <v>0</v>
      </c>
      <c r="Z62" s="572"/>
      <c r="AB62" s="382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383"/>
      <c r="AO62" s="577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x14ac:dyDescent="0.2">
      <c r="A63" t="str">
        <f ca="1">ORÇAMENTO!C63</f>
        <v>S</v>
      </c>
      <c r="B63">
        <f ca="1">ORÇAMENTO!D63</f>
        <v>0</v>
      </c>
      <c r="C63" s="116" t="str">
        <f t="shared" ca="1" si="1"/>
        <v>F</v>
      </c>
      <c r="D63" s="119" t="str">
        <f ca="1">ORÇAMENTO!O63</f>
        <v>2.2.3.</v>
      </c>
      <c r="E63" s="172" t="str">
        <f t="shared" ca="1" si="2"/>
        <v>Auxiliar de topografia</v>
      </c>
      <c r="F63" s="173" t="str">
        <f ca="1">IF(RegimeExecucao="Global","",ORÇAMENTO.Unidade)</f>
        <v/>
      </c>
      <c r="G63" s="124" t="str">
        <f ca="1">IF(RegimeExecucao="Global","",ORÇAMENTO!T63)</f>
        <v/>
      </c>
      <c r="H63" s="124" t="str">
        <f ca="1">IF(RegimeExecucao="Global","",ORÇAMENTO!W63)</f>
        <v/>
      </c>
      <c r="I63" s="127">
        <f ca="1">ORÇAMENTO!X63</f>
        <v>693.6</v>
      </c>
      <c r="J63" s="378">
        <f ca="1">IF($A63="S",IF(CAIXA.Modo,BM.AFAnterior,BM.MEDAnterior),IF(AND(RegimeExecucao="Global",$I63&gt;0,COUNTIF($AB$13:$AM$13,BM.medicao-1)&gt;0),M63/$I63*100,0))</f>
        <v>0</v>
      </c>
      <c r="K63" s="124">
        <f t="shared" ca="1" si="3"/>
        <v>0</v>
      </c>
      <c r="L63" s="379">
        <f ca="1">IF($A63="S",IF(CAIXA.Modo,BM.AFAcumulado,BM.MEDAcumulado),IF(AND(RegimeExecucao="Global",$I63&gt;0,COUNTIF($AB$13:$AM$13,BM.medicao)&gt;0),O63/$I63*100,0))</f>
        <v>0</v>
      </c>
      <c r="M63" s="380">
        <f ca="1">IF($A63="S",VTOTALBM,IF($A63=0,0,ROUND(SomaAgrupBM,15-13*ORÇAMENTO!$AF$11)))</f>
        <v>0</v>
      </c>
      <c r="N63" s="381">
        <f t="shared" ca="1" si="4"/>
        <v>0</v>
      </c>
      <c r="O63" s="127">
        <f ca="1">IF($A63="S",VTOTALBM,IF($A63=0,0,ROUND(SomaAgrupBM,15-13*ORÇAMENTO!$AF$11)))</f>
        <v>0</v>
      </c>
      <c r="Q63" s="382"/>
      <c r="R63" s="383"/>
      <c r="T63" s="119" t="str">
        <f t="shared" ca="1" si="5"/>
        <v/>
      </c>
      <c r="U63" s="172" t="str">
        <f t="shared" ca="1" si="6"/>
        <v/>
      </c>
      <c r="V63" s="173" t="str">
        <f ca="1">IF(AND($W63&gt;0,RegimeExecucao="Unitário"),$F63,"")</f>
        <v/>
      </c>
      <c r="W63" s="547">
        <f ca="1">IF($Y63&gt;0,CHOOSE(MATCH(RegimeExecucao,{"Unitário","Global"},0),IF($A63="S",$Y63/$X63,""),($Y63/$X63)*100),0)</f>
        <v>0</v>
      </c>
      <c r="X63" s="384" t="str">
        <f ca="1">IF($Y63&gt;0,CHOOSE(MATCH(RegimeExecucao,{"Unitário","Global"},0),IF($A63="S",ROUND($H63,ORÇAMENTO!$AF$10),""),ROUND($I63,ORÇAMENTO!$AF$11)),"")</f>
        <v/>
      </c>
      <c r="Y63" s="384">
        <f t="shared" ca="1" si="7"/>
        <v>0</v>
      </c>
      <c r="Z63" s="572"/>
      <c r="AB63" s="382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383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x14ac:dyDescent="0.2">
      <c r="A64">
        <f ca="1">ORÇAMENTO!C64</f>
        <v>2</v>
      </c>
      <c r="B64">
        <f ca="1">ORÇAMENTO!D64</f>
        <v>9</v>
      </c>
      <c r="C64" s="116" t="str">
        <f t="shared" ca="1" si="1"/>
        <v>F</v>
      </c>
      <c r="D64" s="119" t="str">
        <f ca="1">ORÇAMENTO!O64</f>
        <v>2.3.</v>
      </c>
      <c r="E64" s="172" t="str">
        <f t="shared" si="2"/>
        <v>DRENAGEM PLUVIAL</v>
      </c>
      <c r="F64" s="173" t="str">
        <f ca="1">IF(RegimeExecucao="Global","",ORÇAMENTO.Unidade)</f>
        <v/>
      </c>
      <c r="G64" s="124" t="str">
        <f ca="1">IF(RegimeExecucao="Global","",ORÇAMENTO!T64)</f>
        <v/>
      </c>
      <c r="H64" s="124" t="str">
        <f ca="1">IF(RegimeExecucao="Global","",ORÇAMENTO!W64)</f>
        <v/>
      </c>
      <c r="I64" s="127">
        <f ca="1">ORÇAMENTO!X64</f>
        <v>116233.07</v>
      </c>
      <c r="J64" s="378">
        <f ca="1">IF($A64="S",IF(CAIXA.Modo,BM.AFAnterior,BM.MEDAnterior),IF(AND(RegimeExecucao="Global",$I64&gt;0,COUNTIF($AB$13:$AM$13,BM.medicao-1)&gt;0),M64/$I64*100,0))</f>
        <v>0</v>
      </c>
      <c r="K64" s="124">
        <f t="shared" ca="1" si="3"/>
        <v>0</v>
      </c>
      <c r="L64" s="379">
        <f ca="1">IF($A64="S",IF(CAIXA.Modo,BM.AFAcumulado,BM.MEDAcumulado),IF(AND(RegimeExecucao="Global",$I64&gt;0,COUNTIF($AB$13:$AM$13,BM.medicao)&gt;0),O64/$I64*100,0))</f>
        <v>0</v>
      </c>
      <c r="M64" s="380">
        <f ca="1">IF($A64="S",VTOTALBM,IF($A64=0,0,ROUND(SomaAgrupBM,15-13*ORÇAMENTO!$AF$11)))</f>
        <v>0</v>
      </c>
      <c r="N64" s="381">
        <f t="shared" ca="1" si="4"/>
        <v>0</v>
      </c>
      <c r="O64" s="127">
        <f ca="1">IF($A64="S",VTOTALBM,IF($A64=0,0,ROUND(SomaAgrupBM,15-13*ORÇAMENTO!$AF$11)))</f>
        <v>0</v>
      </c>
      <c r="Q64" s="382"/>
      <c r="R64" s="383"/>
      <c r="T64" s="119" t="str">
        <f t="shared" ca="1" si="5"/>
        <v/>
      </c>
      <c r="U64" s="172" t="str">
        <f t="shared" ca="1" si="6"/>
        <v/>
      </c>
      <c r="V64" s="173" t="str">
        <f ca="1">IF(AND($W64&gt;0,RegimeExecucao="Unitário"),$F64,"")</f>
        <v/>
      </c>
      <c r="W64" s="547">
        <f ca="1">IF($Y64&gt;0,CHOOSE(MATCH(RegimeExecucao,{"Unitário","Global"},0),IF($A64="S",$Y64/$X64,""),($Y64/$X64)*100),0)</f>
        <v>0</v>
      </c>
      <c r="X64" s="384" t="str">
        <f ca="1">IF($Y64&gt;0,CHOOSE(MATCH(RegimeExecucao,{"Unitário","Global"},0),IF($A64="S",ROUND($H64,ORÇAMENTO!$AF$10),""),ROUND($I64,ORÇAMENTO!$AF$11)),"")</f>
        <v/>
      </c>
      <c r="Y64" s="384">
        <f t="shared" ca="1" si="7"/>
        <v>0</v>
      </c>
      <c r="Z64" s="572"/>
      <c r="AB64" s="382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383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38.25" x14ac:dyDescent="0.2">
      <c r="A65" t="str">
        <f ca="1">ORÇAMENTO!C65</f>
        <v>S</v>
      </c>
      <c r="B65">
        <f ca="1">ORÇAMENTO!D65</f>
        <v>0</v>
      </c>
      <c r="C65" s="116" t="str">
        <f t="shared" ca="1" si="1"/>
        <v>F</v>
      </c>
      <c r="D65" s="119" t="str">
        <f ca="1">ORÇAMENTO!O65</f>
        <v>2.3.1.</v>
      </c>
      <c r="E65" s="172" t="str">
        <f t="shared" ca="1" si="2"/>
        <v>Escavação, carga e transporte de material de 1ª categoria - DMT de 1.000 a 1.200 m - caminho de serviço pavimentado - com escavadeira e caminhão basculante de 14 m³</v>
      </c>
      <c r="F65" s="173" t="str">
        <f ca="1">IF(RegimeExecucao="Global","",ORÇAMENTO.Unidade)</f>
        <v/>
      </c>
      <c r="G65" s="124" t="str">
        <f ca="1">IF(RegimeExecucao="Global","",ORÇAMENTO!T65)</f>
        <v/>
      </c>
      <c r="H65" s="124" t="str">
        <f ca="1">IF(RegimeExecucao="Global","",ORÇAMENTO!W65)</f>
        <v/>
      </c>
      <c r="I65" s="127">
        <f ca="1">ORÇAMENTO!X65</f>
        <v>1844.69</v>
      </c>
      <c r="J65" s="378">
        <f ca="1">IF($A65="S",IF(CAIXA.Modo,BM.AFAnterior,BM.MEDAnterior),IF(AND(RegimeExecucao="Global",$I65&gt;0,COUNTIF($AB$13:$AM$13,BM.medicao-1)&gt;0),M65/$I65*100,0))</f>
        <v>0</v>
      </c>
      <c r="K65" s="124">
        <f t="shared" ca="1" si="3"/>
        <v>0</v>
      </c>
      <c r="L65" s="379">
        <f ca="1">IF($A65="S",IF(CAIXA.Modo,BM.AFAcumulado,BM.MEDAcumulado),IF(AND(RegimeExecucao="Global",$I65&gt;0,COUNTIF($AB$13:$AM$13,BM.medicao)&gt;0),O65/$I65*100,0))</f>
        <v>0</v>
      </c>
      <c r="M65" s="380">
        <f ca="1">IF($A65="S",VTOTALBM,IF($A65=0,0,ROUND(SomaAgrupBM,15-13*ORÇAMENTO!$AF$11)))</f>
        <v>0</v>
      </c>
      <c r="N65" s="381">
        <f t="shared" ca="1" si="4"/>
        <v>0</v>
      </c>
      <c r="O65" s="127">
        <f ca="1">IF($A65="S",VTOTALBM,IF($A65=0,0,ROUND(SomaAgrupBM,15-13*ORÇAMENTO!$AF$11)))</f>
        <v>0</v>
      </c>
      <c r="Q65" s="382"/>
      <c r="R65" s="383"/>
      <c r="T65" s="119" t="str">
        <f t="shared" ca="1" si="5"/>
        <v/>
      </c>
      <c r="U65" s="172" t="str">
        <f t="shared" ca="1" si="6"/>
        <v/>
      </c>
      <c r="V65" s="173" t="str">
        <f ca="1">IF(AND($W65&gt;0,RegimeExecucao="Unitário"),$F65,"")</f>
        <v/>
      </c>
      <c r="W65" s="547">
        <f ca="1">IF($Y65&gt;0,CHOOSE(MATCH(RegimeExecucao,{"Unitário","Global"},0),IF($A65="S",$Y65/$X65,""),($Y65/$X65)*100),0)</f>
        <v>0</v>
      </c>
      <c r="X65" s="384" t="str">
        <f ca="1">IF($Y65&gt;0,CHOOSE(MATCH(RegimeExecucao,{"Unitário","Global"},0),IF($A65="S",ROUND($H65,ORÇAMENTO!$AF$10),""),ROUND($I65,ORÇAMENTO!$AF$11)),"")</f>
        <v/>
      </c>
      <c r="Y65" s="384">
        <f t="shared" ca="1" si="7"/>
        <v>0</v>
      </c>
      <c r="Z65" s="572"/>
      <c r="AB65" s="382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383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ht="25.5" x14ac:dyDescent="0.2">
      <c r="A66" t="str">
        <f ca="1">ORÇAMENTO!C66</f>
        <v>S</v>
      </c>
      <c r="B66">
        <f ca="1">ORÇAMENTO!D66</f>
        <v>0</v>
      </c>
      <c r="C66" s="116" t="str">
        <f t="shared" ca="1" si="1"/>
        <v>F</v>
      </c>
      <c r="D66" s="119" t="str">
        <f ca="1">ORÇAMENTO!O66</f>
        <v>2.3.2.</v>
      </c>
      <c r="E66" s="172" t="str">
        <f t="shared" ca="1" si="2"/>
        <v>TUBO DE CONCRETO PA2 COMERCIAL PARA DRENAGEM - D=0,40 m (fornecimento e instalação)</v>
      </c>
      <c r="F66" s="173" t="str">
        <f ca="1">IF(RegimeExecucao="Global","",ORÇAMENTO.Unidade)</f>
        <v/>
      </c>
      <c r="G66" s="124" t="str">
        <f ca="1">IF(RegimeExecucao="Global","",ORÇAMENTO!T66)</f>
        <v/>
      </c>
      <c r="H66" s="124" t="str">
        <f ca="1">IF(RegimeExecucao="Global","",ORÇAMENTO!W66)</f>
        <v/>
      </c>
      <c r="I66" s="127">
        <f ca="1">ORÇAMENTO!X66</f>
        <v>28753.97</v>
      </c>
      <c r="J66" s="378">
        <f ca="1">IF($A66="S",IF(CAIXA.Modo,BM.AFAnterior,BM.MEDAnterior),IF(AND(RegimeExecucao="Global",$I66&gt;0,COUNTIF($AB$13:$AM$13,BM.medicao-1)&gt;0),M66/$I66*100,0))</f>
        <v>0</v>
      </c>
      <c r="K66" s="124">
        <f t="shared" ca="1" si="3"/>
        <v>0</v>
      </c>
      <c r="L66" s="379">
        <f ca="1">IF($A66="S",IF(CAIXA.Modo,BM.AFAcumulado,BM.MEDAcumulado),IF(AND(RegimeExecucao="Global",$I66&gt;0,COUNTIF($AB$13:$AM$13,BM.medicao)&gt;0),O66/$I66*100,0))</f>
        <v>0</v>
      </c>
      <c r="M66" s="380">
        <f ca="1">IF($A66="S",VTOTALBM,IF($A66=0,0,ROUND(SomaAgrupBM,15-13*ORÇAMENTO!$AF$11)))</f>
        <v>0</v>
      </c>
      <c r="N66" s="381">
        <f t="shared" ca="1" si="4"/>
        <v>0</v>
      </c>
      <c r="O66" s="127">
        <f ca="1">IF($A66="S",VTOTALBM,IF($A66=0,0,ROUND(SomaAgrupBM,15-13*ORÇAMENTO!$AF$11)))</f>
        <v>0</v>
      </c>
      <c r="Q66" s="382"/>
      <c r="R66" s="383"/>
      <c r="T66" s="119" t="str">
        <f t="shared" ca="1" si="5"/>
        <v/>
      </c>
      <c r="U66" s="172" t="str">
        <f t="shared" ca="1" si="6"/>
        <v/>
      </c>
      <c r="V66" s="173" t="str">
        <f ca="1">IF(AND($W66&gt;0,RegimeExecucao="Unitário"),$F66,"")</f>
        <v/>
      </c>
      <c r="W66" s="547">
        <f ca="1">IF($Y66&gt;0,CHOOSE(MATCH(RegimeExecucao,{"Unitário","Global"},0),IF($A66="S",$Y66/$X66,""),($Y66/$X66)*100),0)</f>
        <v>0</v>
      </c>
      <c r="X66" s="384" t="str">
        <f ca="1">IF($Y66&gt;0,CHOOSE(MATCH(RegimeExecucao,{"Unitário","Global"},0),IF($A66="S",ROUND($H66,ORÇAMENTO!$AF$10),""),ROUND($I66,ORÇAMENTO!$AF$11)),"")</f>
        <v/>
      </c>
      <c r="Y66" s="384">
        <f t="shared" ca="1" si="7"/>
        <v>0</v>
      </c>
      <c r="Z66" s="572"/>
      <c r="AB66" s="382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383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x14ac:dyDescent="0.2">
      <c r="A67" t="str">
        <f ca="1">ORÇAMENTO!C67</f>
        <v>S</v>
      </c>
      <c r="B67">
        <f ca="1">ORÇAMENTO!D67</f>
        <v>0</v>
      </c>
      <c r="C67" s="116" t="str">
        <f t="shared" ca="1" si="1"/>
        <v>F</v>
      </c>
      <c r="D67" s="119" t="str">
        <f ca="1">ORÇAMENTO!O67</f>
        <v>2.3.3.</v>
      </c>
      <c r="E67" s="172" t="str">
        <f t="shared" ca="1" si="2"/>
        <v>Reaterro e compactação com soquete vibratório</v>
      </c>
      <c r="F67" s="173" t="str">
        <f ca="1">IF(RegimeExecucao="Global","",ORÇAMENTO.Unidade)</f>
        <v/>
      </c>
      <c r="G67" s="124" t="str">
        <f ca="1">IF(RegimeExecucao="Global","",ORÇAMENTO!T67)</f>
        <v/>
      </c>
      <c r="H67" s="124" t="str">
        <f ca="1">IF(RegimeExecucao="Global","",ORÇAMENTO!W67)</f>
        <v/>
      </c>
      <c r="I67" s="127">
        <f ca="1">ORÇAMENTO!X67</f>
        <v>4387.83</v>
      </c>
      <c r="J67" s="378">
        <f ca="1">IF($A67="S",IF(CAIXA.Modo,BM.AFAnterior,BM.MEDAnterior),IF(AND(RegimeExecucao="Global",$I67&gt;0,COUNTIF($AB$13:$AM$13,BM.medicao-1)&gt;0),M67/$I67*100,0))</f>
        <v>0</v>
      </c>
      <c r="K67" s="124">
        <f t="shared" ca="1" si="3"/>
        <v>0</v>
      </c>
      <c r="L67" s="379">
        <f ca="1">IF($A67="S",IF(CAIXA.Modo,BM.AFAcumulado,BM.MEDAcumulado),IF(AND(RegimeExecucao="Global",$I67&gt;0,COUNTIF($AB$13:$AM$13,BM.medicao)&gt;0),O67/$I67*100,0))</f>
        <v>0</v>
      </c>
      <c r="M67" s="380">
        <f ca="1">IF($A67="S",VTOTALBM,IF($A67=0,0,ROUND(SomaAgrupBM,15-13*ORÇAMENTO!$AF$11)))</f>
        <v>0</v>
      </c>
      <c r="N67" s="381">
        <f t="shared" ca="1" si="4"/>
        <v>0</v>
      </c>
      <c r="O67" s="127">
        <f ca="1">IF($A67="S",VTOTALBM,IF($A67=0,0,ROUND(SomaAgrupBM,15-13*ORÇAMENTO!$AF$11)))</f>
        <v>0</v>
      </c>
      <c r="Q67" s="382"/>
      <c r="R67" s="383"/>
      <c r="T67" s="119" t="str">
        <f t="shared" ca="1" si="5"/>
        <v/>
      </c>
      <c r="U67" s="172" t="str">
        <f t="shared" ca="1" si="6"/>
        <v/>
      </c>
      <c r="V67" s="173" t="str">
        <f ca="1">IF(AND($W67&gt;0,RegimeExecucao="Unitário"),$F67,"")</f>
        <v/>
      </c>
      <c r="W67" s="547">
        <f ca="1">IF($Y67&gt;0,CHOOSE(MATCH(RegimeExecucao,{"Unitário","Global"},0),IF($A67="S",$Y67/$X67,""),($Y67/$X67)*100),0)</f>
        <v>0</v>
      </c>
      <c r="X67" s="384" t="str">
        <f ca="1">IF($Y67&gt;0,CHOOSE(MATCH(RegimeExecucao,{"Unitário","Global"},0),IF($A67="S",ROUND($H67,ORÇAMENTO!$AF$10),""),ROUND($I67,ORÇAMENTO!$AF$11)),"")</f>
        <v/>
      </c>
      <c r="Y67" s="384">
        <f t="shared" ca="1" si="7"/>
        <v>0</v>
      </c>
      <c r="Z67" s="572"/>
      <c r="AB67" s="382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383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s="577" customFormat="1" x14ac:dyDescent="0.2">
      <c r="A68" s="577" t="str">
        <f ca="1">ORÇAMENTO!C68</f>
        <v>S</v>
      </c>
      <c r="B68" s="577">
        <f ca="1">ORÇAMENTO!D68</f>
        <v>0</v>
      </c>
      <c r="C68" s="116" t="str">
        <f t="shared" ca="1" si="1"/>
        <v>F</v>
      </c>
      <c r="D68" s="119" t="str">
        <f ca="1">ORÇAMENTO!O68</f>
        <v>2.3.4.</v>
      </c>
      <c r="E68" s="172" t="str">
        <f t="shared" ca="1" si="2"/>
        <v>Usinagem de brita graduada com brita comercial em usina de 300 t/h</v>
      </c>
      <c r="F68" s="173" t="str">
        <f ca="1">IF(RegimeExecucao="Global","",ORÇAMENTO.Unidade)</f>
        <v/>
      </c>
      <c r="G68" s="124" t="str">
        <f ca="1">IF(RegimeExecucao="Global","",ORÇAMENTO!T68)</f>
        <v/>
      </c>
      <c r="H68" s="124" t="str">
        <f ca="1">IF(RegimeExecucao="Global","",ORÇAMENTO!W68)</f>
        <v/>
      </c>
      <c r="I68" s="127">
        <f ca="1">ORÇAMENTO!X68</f>
        <v>39653.949999999997</v>
      </c>
      <c r="J68" s="378">
        <f ca="1">IF($A68="S",IF(CAIXA.Modo,BM.AFAnterior,BM.MEDAnterior),IF(AND(RegimeExecucao="Global",$I68&gt;0,COUNTIF($AB$13:$AM$13,BM.medicao-1)&gt;0),M68/$I68*100,0))</f>
        <v>0</v>
      </c>
      <c r="K68" s="124">
        <f t="shared" ca="1" si="3"/>
        <v>0</v>
      </c>
      <c r="L68" s="379">
        <f ca="1">IF($A68="S",IF(CAIXA.Modo,BM.AFAcumulado,BM.MEDAcumulado),IF(AND(RegimeExecucao="Global",$I68&gt;0,COUNTIF($AB$13:$AM$13,BM.medicao)&gt;0),O68/$I68*100,0))</f>
        <v>0</v>
      </c>
      <c r="M68" s="380">
        <f ca="1">IF($A68="S",VTOTALBM,IF($A68=0,0,ROUND(SomaAgrupBM,15-13*ORÇAMENTO!$AF$11)))</f>
        <v>0</v>
      </c>
      <c r="N68" s="381">
        <f t="shared" ca="1" si="4"/>
        <v>0</v>
      </c>
      <c r="O68" s="127">
        <f ca="1">IF($A68="S",VTOTALBM,IF($A68=0,0,ROUND(SomaAgrupBM,15-13*ORÇAMENTO!$AF$11)))</f>
        <v>0</v>
      </c>
      <c r="Q68" s="382"/>
      <c r="R68" s="383"/>
      <c r="T68" s="119" t="str">
        <f t="shared" ca="1" si="5"/>
        <v/>
      </c>
      <c r="U68" s="172" t="str">
        <f t="shared" ca="1" si="6"/>
        <v/>
      </c>
      <c r="V68" s="173" t="str">
        <f ca="1">IF(AND($W68&gt;0,RegimeExecucao="Unitário"),$F68,"")</f>
        <v/>
      </c>
      <c r="W68" s="547">
        <f ca="1">IF($Y68&gt;0,CHOOSE(MATCH(RegimeExecucao,{"Unitário","Global"},0),IF($A68="S",$Y68/$X68,""),($Y68/$X68)*100),0)</f>
        <v>0</v>
      </c>
      <c r="X68" s="384" t="str">
        <f ca="1">IF($Y68&gt;0,CHOOSE(MATCH(RegimeExecucao,{"Unitário","Global"},0),IF($A68="S",ROUND($H68,ORÇAMENTO!$AF$10),""),ROUND($I68,ORÇAMENTO!$AF$11)),"")</f>
        <v/>
      </c>
      <c r="Y68" s="384">
        <f t="shared" ca="1" si="7"/>
        <v>0</v>
      </c>
      <c r="Z68" s="572"/>
      <c r="AB68" s="382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383"/>
      <c r="AO68" s="577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s="577" customFormat="1" ht="25.5" x14ac:dyDescent="0.2">
      <c r="A69" s="577" t="str">
        <f ca="1">ORÇAMENTO!C69</f>
        <v>S</v>
      </c>
      <c r="B69" s="577">
        <f ca="1">ORÇAMENTO!D69</f>
        <v>0</v>
      </c>
      <c r="C69" s="116" t="str">
        <f t="shared" ca="1" si="1"/>
        <v>F</v>
      </c>
      <c r="D69" s="119" t="str">
        <f ca="1">ORÇAMENTO!O69</f>
        <v>2.3.5.</v>
      </c>
      <c r="E69" s="172" t="str">
        <f t="shared" ca="1" si="2"/>
        <v>Transporte com caminhão basculante de 10 m³ - rodovia pavimentada</v>
      </c>
      <c r="F69" s="173" t="str">
        <f ca="1">IF(RegimeExecucao="Global","",ORÇAMENTO.Unidade)</f>
        <v/>
      </c>
      <c r="G69" s="124" t="str">
        <f ca="1">IF(RegimeExecucao="Global","",ORÇAMENTO!T69)</f>
        <v/>
      </c>
      <c r="H69" s="124" t="str">
        <f ca="1">IF(RegimeExecucao="Global","",ORÇAMENTO!W69)</f>
        <v/>
      </c>
      <c r="I69" s="127">
        <f ca="1">ORÇAMENTO!X69</f>
        <v>7042.87</v>
      </c>
      <c r="J69" s="378">
        <f ca="1">IF($A69="S",IF(CAIXA.Modo,BM.AFAnterior,BM.MEDAnterior),IF(AND(RegimeExecucao="Global",$I69&gt;0,COUNTIF($AB$13:$AM$13,BM.medicao-1)&gt;0),M69/$I69*100,0))</f>
        <v>0</v>
      </c>
      <c r="K69" s="124">
        <f t="shared" ca="1" si="3"/>
        <v>0</v>
      </c>
      <c r="L69" s="379">
        <f ca="1">IF($A69="S",IF(CAIXA.Modo,BM.AFAcumulado,BM.MEDAcumulado),IF(AND(RegimeExecucao="Global",$I69&gt;0,COUNTIF($AB$13:$AM$13,BM.medicao)&gt;0),O69/$I69*100,0))</f>
        <v>0</v>
      </c>
      <c r="M69" s="380">
        <f ca="1">IF($A69="S",VTOTALBM,IF($A69=0,0,ROUND(SomaAgrupBM,15-13*ORÇAMENTO!$AF$11)))</f>
        <v>0</v>
      </c>
      <c r="N69" s="381">
        <f t="shared" ca="1" si="4"/>
        <v>0</v>
      </c>
      <c r="O69" s="127">
        <f ca="1">IF($A69="S",VTOTALBM,IF($A69=0,0,ROUND(SomaAgrupBM,15-13*ORÇAMENTO!$AF$11)))</f>
        <v>0</v>
      </c>
      <c r="Q69" s="382"/>
      <c r="R69" s="383"/>
      <c r="T69" s="119" t="str">
        <f t="shared" ca="1" si="5"/>
        <v/>
      </c>
      <c r="U69" s="172" t="str">
        <f t="shared" ca="1" si="6"/>
        <v/>
      </c>
      <c r="V69" s="173" t="str">
        <f ca="1">IF(AND($W69&gt;0,RegimeExecucao="Unitário"),$F69,"")</f>
        <v/>
      </c>
      <c r="W69" s="547">
        <f ca="1">IF($Y69&gt;0,CHOOSE(MATCH(RegimeExecucao,{"Unitário","Global"},0),IF($A69="S",$Y69/$X69,""),($Y69/$X69)*100),0)</f>
        <v>0</v>
      </c>
      <c r="X69" s="384" t="str">
        <f ca="1">IF($Y69&gt;0,CHOOSE(MATCH(RegimeExecucao,{"Unitário","Global"},0),IF($A69="S",ROUND($H69,ORÇAMENTO!$AF$10),""),ROUND($I69,ORÇAMENTO!$AF$11)),"")</f>
        <v/>
      </c>
      <c r="Y69" s="384">
        <f t="shared" ca="1" si="7"/>
        <v>0</v>
      </c>
      <c r="Z69" s="572"/>
      <c r="AB69" s="382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383"/>
      <c r="AO69" s="577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x14ac:dyDescent="0.2">
      <c r="A70" t="str">
        <f ca="1">ORÇAMENTO!C70</f>
        <v>S</v>
      </c>
      <c r="B70">
        <f ca="1">ORÇAMENTO!D70</f>
        <v>0</v>
      </c>
      <c r="C70" s="116" t="str">
        <f t="shared" ca="1" si="1"/>
        <v>F</v>
      </c>
      <c r="D70" s="119" t="str">
        <f ca="1">ORÇAMENTO!O70</f>
        <v>2.3.6.</v>
      </c>
      <c r="E70" s="172" t="str">
        <f t="shared" ca="1" si="2"/>
        <v>BOCA DE LOBO COM GRADE 80X80 (INTERNA) - TIPO BL</v>
      </c>
      <c r="F70" s="173" t="str">
        <f ca="1">IF(RegimeExecucao="Global","",ORÇAMENTO.Unidade)</f>
        <v/>
      </c>
      <c r="G70" s="124" t="str">
        <f ca="1">IF(RegimeExecucao="Global","",ORÇAMENTO!T70)</f>
        <v/>
      </c>
      <c r="H70" s="124" t="str">
        <f ca="1">IF(RegimeExecucao="Global","",ORÇAMENTO!W70)</f>
        <v/>
      </c>
      <c r="I70" s="127">
        <f ca="1">ORÇAMENTO!X70</f>
        <v>8870.4</v>
      </c>
      <c r="J70" s="378">
        <f ca="1">IF($A70="S",IF(CAIXA.Modo,BM.AFAnterior,BM.MEDAnterior),IF(AND(RegimeExecucao="Global",$I70&gt;0,COUNTIF($AB$13:$AM$13,BM.medicao-1)&gt;0),M70/$I70*100,0))</f>
        <v>0</v>
      </c>
      <c r="K70" s="124">
        <f t="shared" ca="1" si="3"/>
        <v>0</v>
      </c>
      <c r="L70" s="379">
        <f ca="1">IF($A70="S",IF(CAIXA.Modo,BM.AFAcumulado,BM.MEDAcumulado),IF(AND(RegimeExecucao="Global",$I70&gt;0,COUNTIF($AB$13:$AM$13,BM.medicao)&gt;0),O70/$I70*100,0))</f>
        <v>0</v>
      </c>
      <c r="M70" s="380">
        <f ca="1">IF($A70="S",VTOTALBM,IF($A70=0,0,ROUND(SomaAgrupBM,15-13*ORÇAMENTO!$AF$11)))</f>
        <v>0</v>
      </c>
      <c r="N70" s="381">
        <f t="shared" ca="1" si="4"/>
        <v>0</v>
      </c>
      <c r="O70" s="127">
        <f ca="1">IF($A70="S",VTOTALBM,IF($A70=0,0,ROUND(SomaAgrupBM,15-13*ORÇAMENTO!$AF$11)))</f>
        <v>0</v>
      </c>
      <c r="Q70" s="382"/>
      <c r="R70" s="383"/>
      <c r="T70" s="119" t="str">
        <f t="shared" ca="1" si="5"/>
        <v/>
      </c>
      <c r="U70" s="172" t="str">
        <f t="shared" ca="1" si="6"/>
        <v/>
      </c>
      <c r="V70" s="173" t="str">
        <f ca="1">IF(AND($W70&gt;0,RegimeExecucao="Unitário"),$F70,"")</f>
        <v/>
      </c>
      <c r="W70" s="547">
        <f ca="1">IF($Y70&gt;0,CHOOSE(MATCH(RegimeExecucao,{"Unitário","Global"},0),IF($A70="S",$Y70/$X70,""),($Y70/$X70)*100),0)</f>
        <v>0</v>
      </c>
      <c r="X70" s="384" t="str">
        <f ca="1">IF($Y70&gt;0,CHOOSE(MATCH(RegimeExecucao,{"Unitário","Global"},0),IF($A70="S",ROUND($H70,ORÇAMENTO!$AF$10),""),ROUND($I70,ORÇAMENTO!$AF$11)),"")</f>
        <v/>
      </c>
      <c r="Y70" s="384">
        <f t="shared" ca="1" si="7"/>
        <v>0</v>
      </c>
      <c r="Z70" s="572"/>
      <c r="AB70" s="382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383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ht="25.5" x14ac:dyDescent="0.2">
      <c r="A71" t="str">
        <f ca="1">ORÇAMENTO!C71</f>
        <v>S</v>
      </c>
      <c r="B71">
        <f ca="1">ORÇAMENTO!D71</f>
        <v>0</v>
      </c>
      <c r="C71" s="116" t="str">
        <f t="shared" ca="1" si="1"/>
        <v>F</v>
      </c>
      <c r="D71" s="119" t="str">
        <f ca="1">ORÇAMENTO!O71</f>
        <v>2.3.7.</v>
      </c>
      <c r="E71" s="172" t="str">
        <f t="shared" ca="1" si="2"/>
        <v>SARJETA DE CONCRETO MOLDADA IN LOCO, CONCRETO USINADO 30X5 CM</v>
      </c>
      <c r="F71" s="173" t="str">
        <f ca="1">IF(RegimeExecucao="Global","",ORÇAMENTO.Unidade)</f>
        <v/>
      </c>
      <c r="G71" s="124" t="str">
        <f ca="1">IF(RegimeExecucao="Global","",ORÇAMENTO!T71)</f>
        <v/>
      </c>
      <c r="H71" s="124" t="str">
        <f ca="1">IF(RegimeExecucao="Global","",ORÇAMENTO!W71)</f>
        <v/>
      </c>
      <c r="I71" s="127">
        <f ca="1">ORÇAMENTO!X71</f>
        <v>19654.400000000001</v>
      </c>
      <c r="J71" s="378">
        <f ca="1">IF($A71="S",IF(CAIXA.Modo,BM.AFAnterior,BM.MEDAnterior),IF(AND(RegimeExecucao="Global",$I71&gt;0,COUNTIF($AB$13:$AM$13,BM.medicao-1)&gt;0),M71/$I71*100,0))</f>
        <v>0</v>
      </c>
      <c r="K71" s="124">
        <f t="shared" ca="1" si="3"/>
        <v>0</v>
      </c>
      <c r="L71" s="379">
        <f ca="1">IF($A71="S",IF(CAIXA.Modo,BM.AFAcumulado,BM.MEDAcumulado),IF(AND(RegimeExecucao="Global",$I71&gt;0,COUNTIF($AB$13:$AM$13,BM.medicao)&gt;0),O71/$I71*100,0))</f>
        <v>0</v>
      </c>
      <c r="M71" s="380">
        <f ca="1">IF($A71="S",VTOTALBM,IF($A71=0,0,ROUND(SomaAgrupBM,15-13*ORÇAMENTO!$AF$11)))</f>
        <v>0</v>
      </c>
      <c r="N71" s="381">
        <f t="shared" ca="1" si="4"/>
        <v>0</v>
      </c>
      <c r="O71" s="127">
        <f ca="1">IF($A71="S",VTOTALBM,IF($A71=0,0,ROUND(SomaAgrupBM,15-13*ORÇAMENTO!$AF$11)))</f>
        <v>0</v>
      </c>
      <c r="Q71" s="382"/>
      <c r="R71" s="383"/>
      <c r="T71" s="119" t="str">
        <f t="shared" ca="1" si="5"/>
        <v/>
      </c>
      <c r="U71" s="172" t="str">
        <f t="shared" ca="1" si="6"/>
        <v/>
      </c>
      <c r="V71" s="173" t="str">
        <f ca="1">IF(AND($W71&gt;0,RegimeExecucao="Unitário"),$F71,"")</f>
        <v/>
      </c>
      <c r="W71" s="547">
        <f ca="1">IF($Y71&gt;0,CHOOSE(MATCH(RegimeExecucao,{"Unitário","Global"},0),IF($A71="S",$Y71/$X71,""),($Y71/$X71)*100),0)</f>
        <v>0</v>
      </c>
      <c r="X71" s="384" t="str">
        <f ca="1">IF($Y71&gt;0,CHOOSE(MATCH(RegimeExecucao,{"Unitário","Global"},0),IF($A71="S",ROUND($H71,ORÇAMENTO!$AF$10),""),ROUND($I71,ORÇAMENTO!$AF$11)),"")</f>
        <v/>
      </c>
      <c r="Y71" s="384">
        <f t="shared" ca="1" si="7"/>
        <v>0</v>
      </c>
      <c r="Z71" s="572"/>
      <c r="AB71" s="382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383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51" x14ac:dyDescent="0.2">
      <c r="A72" t="str">
        <f ca="1">ORÇAMENTO!C72</f>
        <v>S</v>
      </c>
      <c r="B72">
        <f ca="1">ORÇAMENTO!D72</f>
        <v>0</v>
      </c>
      <c r="C72" s="116" t="str">
        <f t="shared" ca="1" si="1"/>
        <v>F</v>
      </c>
      <c r="D72" s="119" t="str">
        <f ca="1">ORÇAMENTO!O72</f>
        <v>2.3.8.</v>
      </c>
      <c r="E72" s="172" t="str">
        <f t="shared" ca="1" si="2"/>
        <v>ASSENTAMENTO DE GUIA (MEIO-FIO) EM TRECHO RETO, CONFECCIONADA EM CONCRETO PRÉ-FABRICADO, DIMENSÕES 100X15X13X30 CM (COMPRIMENTO X BASE INFERIOR X BASE SUPERIOR X ALTURA). AF_01/2024</v>
      </c>
      <c r="F72" s="173" t="str">
        <f ca="1">IF(RegimeExecucao="Global","",ORÇAMENTO.Unidade)</f>
        <v/>
      </c>
      <c r="G72" s="124" t="str">
        <f ca="1">IF(RegimeExecucao="Global","",ORÇAMENTO!T72)</f>
        <v/>
      </c>
      <c r="H72" s="124" t="str">
        <f ca="1">IF(RegimeExecucao="Global","",ORÇAMENTO!W72)</f>
        <v/>
      </c>
      <c r="I72" s="127">
        <f ca="1">ORÇAMENTO!X72</f>
        <v>6024.96</v>
      </c>
      <c r="J72" s="378">
        <f ca="1">IF($A72="S",IF(CAIXA.Modo,BM.AFAnterior,BM.MEDAnterior),IF(AND(RegimeExecucao="Global",$I72&gt;0,COUNTIF($AB$13:$AM$13,BM.medicao-1)&gt;0),M72/$I72*100,0))</f>
        <v>0</v>
      </c>
      <c r="K72" s="124">
        <f t="shared" ca="1" si="3"/>
        <v>0</v>
      </c>
      <c r="L72" s="379">
        <f ca="1">IF($A72="S",IF(CAIXA.Modo,BM.AFAcumulado,BM.MEDAcumulado),IF(AND(RegimeExecucao="Global",$I72&gt;0,COUNTIF($AB$13:$AM$13,BM.medicao)&gt;0),O72/$I72*100,0))</f>
        <v>0</v>
      </c>
      <c r="M72" s="380">
        <f ca="1">IF($A72="S",VTOTALBM,IF($A72=0,0,ROUND(SomaAgrupBM,15-13*ORÇAMENTO!$AF$11)))</f>
        <v>0</v>
      </c>
      <c r="N72" s="381">
        <f t="shared" ca="1" si="4"/>
        <v>0</v>
      </c>
      <c r="O72" s="127">
        <f ca="1">IF($A72="S",VTOTALBM,IF($A72=0,0,ROUND(SomaAgrupBM,15-13*ORÇAMENTO!$AF$11)))</f>
        <v>0</v>
      </c>
      <c r="Q72" s="382"/>
      <c r="R72" s="383"/>
      <c r="T72" s="119" t="str">
        <f t="shared" ca="1" si="5"/>
        <v/>
      </c>
      <c r="U72" s="172" t="str">
        <f t="shared" ca="1" si="6"/>
        <v/>
      </c>
      <c r="V72" s="173" t="str">
        <f ca="1">IF(AND($W72&gt;0,RegimeExecucao="Unitário"),$F72,"")</f>
        <v/>
      </c>
      <c r="W72" s="547">
        <f ca="1">IF($Y72&gt;0,CHOOSE(MATCH(RegimeExecucao,{"Unitário","Global"},0),IF($A72="S",$Y72/$X72,""),($Y72/$X72)*100),0)</f>
        <v>0</v>
      </c>
      <c r="X72" s="384" t="str">
        <f ca="1">IF($Y72&gt;0,CHOOSE(MATCH(RegimeExecucao,{"Unitário","Global"},0),IF($A72="S",ROUND($H72,ORÇAMENTO!$AF$10),""),ROUND($I72,ORÇAMENTO!$AF$11)),"")</f>
        <v/>
      </c>
      <c r="Y72" s="384">
        <f t="shared" ca="1" si="7"/>
        <v>0</v>
      </c>
      <c r="Z72" s="572"/>
      <c r="AB72" s="382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383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x14ac:dyDescent="0.2">
      <c r="A73">
        <f ca="1">ORÇAMENTO!C73</f>
        <v>2</v>
      </c>
      <c r="B73">
        <f ca="1">ORÇAMENTO!D73</f>
        <v>9</v>
      </c>
      <c r="C73" s="116" t="str">
        <f t="shared" ca="1" si="1"/>
        <v>F</v>
      </c>
      <c r="D73" s="119" t="str">
        <f ca="1">ORÇAMENTO!O73</f>
        <v>2.4.</v>
      </c>
      <c r="E73" s="172" t="str">
        <f t="shared" si="2"/>
        <v>PAVIMENTAÇÃO</v>
      </c>
      <c r="F73" s="173" t="str">
        <f ca="1">IF(RegimeExecucao="Global","",ORÇAMENTO.Unidade)</f>
        <v/>
      </c>
      <c r="G73" s="124" t="str">
        <f ca="1">IF(RegimeExecucao="Global","",ORÇAMENTO!T73)</f>
        <v/>
      </c>
      <c r="H73" s="124" t="str">
        <f ca="1">IF(RegimeExecucao="Global","",ORÇAMENTO!W73)</f>
        <v/>
      </c>
      <c r="I73" s="127">
        <f ca="1">ORÇAMENTO!X73</f>
        <v>354658.68</v>
      </c>
      <c r="J73" s="378">
        <f ca="1">IF($A73="S",IF(CAIXA.Modo,BM.AFAnterior,BM.MEDAnterior),IF(AND(RegimeExecucao="Global",$I73&gt;0,COUNTIF($AB$13:$AM$13,BM.medicao-1)&gt;0),M73/$I73*100,0))</f>
        <v>0</v>
      </c>
      <c r="K73" s="124">
        <f t="shared" ca="1" si="3"/>
        <v>0</v>
      </c>
      <c r="L73" s="379">
        <f ca="1">IF($A73="S",IF(CAIXA.Modo,BM.AFAcumulado,BM.MEDAcumulado),IF(AND(RegimeExecucao="Global",$I73&gt;0,COUNTIF($AB$13:$AM$13,BM.medicao)&gt;0),O73/$I73*100,0))</f>
        <v>0</v>
      </c>
      <c r="M73" s="380">
        <f ca="1">IF($A73="S",VTOTALBM,IF($A73=0,0,ROUND(SomaAgrupBM,15-13*ORÇAMENTO!$AF$11)))</f>
        <v>0</v>
      </c>
      <c r="N73" s="381">
        <f t="shared" ca="1" si="4"/>
        <v>0</v>
      </c>
      <c r="O73" s="127">
        <f ca="1">IF($A73="S",VTOTALBM,IF($A73=0,0,ROUND(SomaAgrupBM,15-13*ORÇAMENTO!$AF$11)))</f>
        <v>0</v>
      </c>
      <c r="Q73" s="382"/>
      <c r="R73" s="383"/>
      <c r="T73" s="119" t="str">
        <f t="shared" ca="1" si="5"/>
        <v/>
      </c>
      <c r="U73" s="172" t="str">
        <f t="shared" ca="1" si="6"/>
        <v/>
      </c>
      <c r="V73" s="173" t="str">
        <f ca="1">IF(AND($W73&gt;0,RegimeExecucao="Unitário"),$F73,"")</f>
        <v/>
      </c>
      <c r="W73" s="547">
        <f ca="1">IF($Y73&gt;0,CHOOSE(MATCH(RegimeExecucao,{"Unitário","Global"},0),IF($A73="S",$Y73/$X73,""),($Y73/$X73)*100),0)</f>
        <v>0</v>
      </c>
      <c r="X73" s="384" t="str">
        <f ca="1">IF($Y73&gt;0,CHOOSE(MATCH(RegimeExecucao,{"Unitário","Global"},0),IF($A73="S",ROUND($H73,ORÇAMENTO!$AF$10),""),ROUND($I73,ORÇAMENTO!$AF$11)),"")</f>
        <v/>
      </c>
      <c r="Y73" s="384">
        <f t="shared" ca="1" si="7"/>
        <v>0</v>
      </c>
      <c r="Z73" s="572"/>
      <c r="AB73" s="382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383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ht="25.5" x14ac:dyDescent="0.2">
      <c r="A74" t="str">
        <f ca="1">ORÇAMENTO!C74</f>
        <v>S</v>
      </c>
      <c r="B74">
        <f ca="1">ORÇAMENTO!D74</f>
        <v>0</v>
      </c>
      <c r="C74" s="116" t="str">
        <f t="shared" ca="1" si="1"/>
        <v>F</v>
      </c>
      <c r="D74" s="119" t="str">
        <f ca="1">ORÇAMENTO!O74</f>
        <v>2.4.1.</v>
      </c>
      <c r="E74" s="172" t="str">
        <f t="shared" ca="1" si="2"/>
        <v>LIMPEZA E LAVAGEM DE PISTA COM CAMINHÃO PIPA E VASSOURA MECÂNICA</v>
      </c>
      <c r="F74" s="173" t="str">
        <f ca="1">IF(RegimeExecucao="Global","",ORÇAMENTO.Unidade)</f>
        <v/>
      </c>
      <c r="G74" s="124" t="str">
        <f ca="1">IF(RegimeExecucao="Global","",ORÇAMENTO!T74)</f>
        <v/>
      </c>
      <c r="H74" s="124" t="str">
        <f ca="1">IF(RegimeExecucao="Global","",ORÇAMENTO!W74)</f>
        <v/>
      </c>
      <c r="I74" s="127">
        <f ca="1">ORÇAMENTO!X74</f>
        <v>4388.95</v>
      </c>
      <c r="J74" s="378">
        <f ca="1">IF($A74="S",IF(CAIXA.Modo,BM.AFAnterior,BM.MEDAnterior),IF(AND(RegimeExecucao="Global",$I74&gt;0,COUNTIF($AB$13:$AM$13,BM.medicao-1)&gt;0),M74/$I74*100,0))</f>
        <v>0</v>
      </c>
      <c r="K74" s="124">
        <f t="shared" ca="1" si="3"/>
        <v>0</v>
      </c>
      <c r="L74" s="379">
        <f ca="1">IF($A74="S",IF(CAIXA.Modo,BM.AFAcumulado,BM.MEDAcumulado),IF(AND(RegimeExecucao="Global",$I74&gt;0,COUNTIF($AB$13:$AM$13,BM.medicao)&gt;0),O74/$I74*100,0))</f>
        <v>0</v>
      </c>
      <c r="M74" s="380">
        <f ca="1">IF($A74="S",VTOTALBM,IF($A74=0,0,ROUND(SomaAgrupBM,15-13*ORÇAMENTO!$AF$11)))</f>
        <v>0</v>
      </c>
      <c r="N74" s="381">
        <f t="shared" ca="1" si="4"/>
        <v>0</v>
      </c>
      <c r="O74" s="127">
        <f ca="1">IF($A74="S",VTOTALBM,IF($A74=0,0,ROUND(SomaAgrupBM,15-13*ORÇAMENTO!$AF$11)))</f>
        <v>0</v>
      </c>
      <c r="Q74" s="382"/>
      <c r="R74" s="383"/>
      <c r="T74" s="119" t="str">
        <f t="shared" ca="1" si="5"/>
        <v/>
      </c>
      <c r="U74" s="172" t="str">
        <f t="shared" ca="1" si="6"/>
        <v/>
      </c>
      <c r="V74" s="173" t="str">
        <f ca="1">IF(AND($W74&gt;0,RegimeExecucao="Unitário"),$F74,"")</f>
        <v/>
      </c>
      <c r="W74" s="547">
        <f ca="1">IF($Y74&gt;0,CHOOSE(MATCH(RegimeExecucao,{"Unitário","Global"},0),IF($A74="S",$Y74/$X74,""),($Y74/$X74)*100),0)</f>
        <v>0</v>
      </c>
      <c r="X74" s="384" t="str">
        <f ca="1">IF($Y74&gt;0,CHOOSE(MATCH(RegimeExecucao,{"Unitário","Global"},0),IF($A74="S",ROUND($H74,ORÇAMENTO!$AF$10),""),ROUND($I74,ORÇAMENTO!$AF$11)),"")</f>
        <v/>
      </c>
      <c r="Y74" s="384">
        <f t="shared" ca="1" si="7"/>
        <v>0</v>
      </c>
      <c r="Z74" s="572"/>
      <c r="AB74" s="382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383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x14ac:dyDescent="0.2">
      <c r="A75" t="str">
        <f ca="1">ORÇAMENTO!C75</f>
        <v>S</v>
      </c>
      <c r="B75">
        <f ca="1">ORÇAMENTO!D75</f>
        <v>0</v>
      </c>
      <c r="C75" s="116" t="str">
        <f t="shared" ca="1" si="1"/>
        <v>F</v>
      </c>
      <c r="D75" s="119" t="str">
        <f ca="1">ORÇAMENTO!O75</f>
        <v>2.4.2.</v>
      </c>
      <c r="E75" s="172" t="str">
        <f t="shared" ca="1" si="2"/>
        <v>Pintura de ligação</v>
      </c>
      <c r="F75" s="173" t="str">
        <f ca="1">IF(RegimeExecucao="Global","",ORÇAMENTO.Unidade)</f>
        <v/>
      </c>
      <c r="G75" s="124" t="str">
        <f ca="1">IF(RegimeExecucao="Global","",ORÇAMENTO!T75)</f>
        <v/>
      </c>
      <c r="H75" s="124" t="str">
        <f ca="1">IF(RegimeExecucao="Global","",ORÇAMENTO!W75)</f>
        <v/>
      </c>
      <c r="I75" s="127">
        <f ca="1">ORÇAMENTO!X75</f>
        <v>3939.69</v>
      </c>
      <c r="J75" s="378">
        <f ca="1">IF($A75="S",IF(CAIXA.Modo,BM.AFAnterior,BM.MEDAnterior),IF(AND(RegimeExecucao="Global",$I75&gt;0,COUNTIF($AB$13:$AM$13,BM.medicao-1)&gt;0),M75/$I75*100,0))</f>
        <v>0</v>
      </c>
      <c r="K75" s="124">
        <f t="shared" ca="1" si="3"/>
        <v>0</v>
      </c>
      <c r="L75" s="379">
        <f ca="1">IF($A75="S",IF(CAIXA.Modo,BM.AFAcumulado,BM.MEDAcumulado),IF(AND(RegimeExecucao="Global",$I75&gt;0,COUNTIF($AB$13:$AM$13,BM.medicao)&gt;0),O75/$I75*100,0))</f>
        <v>0</v>
      </c>
      <c r="M75" s="380">
        <f ca="1">IF($A75="S",VTOTALBM,IF($A75=0,0,ROUND(SomaAgrupBM,15-13*ORÇAMENTO!$AF$11)))</f>
        <v>0</v>
      </c>
      <c r="N75" s="381">
        <f t="shared" ca="1" si="4"/>
        <v>0</v>
      </c>
      <c r="O75" s="127">
        <f ca="1">IF($A75="S",VTOTALBM,IF($A75=0,0,ROUND(SomaAgrupBM,15-13*ORÇAMENTO!$AF$11)))</f>
        <v>0</v>
      </c>
      <c r="Q75" s="382"/>
      <c r="R75" s="383"/>
      <c r="T75" s="119" t="str">
        <f t="shared" ca="1" si="5"/>
        <v/>
      </c>
      <c r="U75" s="172" t="str">
        <f t="shared" ca="1" si="6"/>
        <v/>
      </c>
      <c r="V75" s="173" t="str">
        <f ca="1">IF(AND($W75&gt;0,RegimeExecucao="Unitário"),$F75,"")</f>
        <v/>
      </c>
      <c r="W75" s="547">
        <f ca="1">IF($Y75&gt;0,CHOOSE(MATCH(RegimeExecucao,{"Unitário","Global"},0),IF($A75="S",$Y75/$X75,""),($Y75/$X75)*100),0)</f>
        <v>0</v>
      </c>
      <c r="X75" s="384" t="str">
        <f ca="1">IF($Y75&gt;0,CHOOSE(MATCH(RegimeExecucao,{"Unitário","Global"},0),IF($A75="S",ROUND($H75,ORÇAMENTO!$AF$10),""),ROUND($I75,ORÇAMENTO!$AF$11)),"")</f>
        <v/>
      </c>
      <c r="Y75" s="384">
        <f t="shared" ca="1" si="7"/>
        <v>0</v>
      </c>
      <c r="Z75" s="572"/>
      <c r="AB75" s="382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383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x14ac:dyDescent="0.2">
      <c r="A76" t="str">
        <f ca="1">ORÇAMENTO!C76</f>
        <v>S</v>
      </c>
      <c r="B76">
        <f ca="1">ORÇAMENTO!D76</f>
        <v>0</v>
      </c>
      <c r="C76" s="116" t="str">
        <f t="shared" ca="1" si="1"/>
        <v>F</v>
      </c>
      <c r="D76" s="119" t="str">
        <f ca="1">ORÇAMENTO!O76</f>
        <v>2.4.3.</v>
      </c>
      <c r="E76" s="172" t="str">
        <f t="shared" ca="1" si="2"/>
        <v>Concreto asfáltico - faixa C-12,5 - areia e brita comerciais</v>
      </c>
      <c r="F76" s="173" t="str">
        <f ca="1">IF(RegimeExecucao="Global","",ORÇAMENTO.Unidade)</f>
        <v/>
      </c>
      <c r="G76" s="124" t="str">
        <f ca="1">IF(RegimeExecucao="Global","",ORÇAMENTO!T76)</f>
        <v/>
      </c>
      <c r="H76" s="124" t="str">
        <f ca="1">IF(RegimeExecucao="Global","",ORÇAMENTO!W76)</f>
        <v/>
      </c>
      <c r="I76" s="127">
        <f ca="1">ORÇAMENTO!X76</f>
        <v>124234.51</v>
      </c>
      <c r="J76" s="378">
        <f ca="1">IF($A76="S",IF(CAIXA.Modo,BM.AFAnterior,BM.MEDAnterior),IF(AND(RegimeExecucao="Global",$I76&gt;0,COUNTIF($AB$13:$AM$13,BM.medicao-1)&gt;0),M76/$I76*100,0))</f>
        <v>0</v>
      </c>
      <c r="K76" s="124">
        <f t="shared" ca="1" si="3"/>
        <v>0</v>
      </c>
      <c r="L76" s="379">
        <f ca="1">IF($A76="S",IF(CAIXA.Modo,BM.AFAcumulado,BM.MEDAcumulado),IF(AND(RegimeExecucao="Global",$I76&gt;0,COUNTIF($AB$13:$AM$13,BM.medicao)&gt;0),O76/$I76*100,0))</f>
        <v>0</v>
      </c>
      <c r="M76" s="380">
        <f ca="1">IF($A76="S",VTOTALBM,IF($A76=0,0,ROUND(SomaAgrupBM,15-13*ORÇAMENTO!$AF$11)))</f>
        <v>0</v>
      </c>
      <c r="N76" s="381">
        <f t="shared" ca="1" si="4"/>
        <v>0</v>
      </c>
      <c r="O76" s="127">
        <f ca="1">IF($A76="S",VTOTALBM,IF($A76=0,0,ROUND(SomaAgrupBM,15-13*ORÇAMENTO!$AF$11)))</f>
        <v>0</v>
      </c>
      <c r="Q76" s="382"/>
      <c r="R76" s="383"/>
      <c r="T76" s="119" t="str">
        <f t="shared" ca="1" si="5"/>
        <v/>
      </c>
      <c r="U76" s="172" t="str">
        <f t="shared" ca="1" si="6"/>
        <v/>
      </c>
      <c r="V76" s="173" t="str">
        <f ca="1">IF(AND($W76&gt;0,RegimeExecucao="Unitário"),$F76,"")</f>
        <v/>
      </c>
      <c r="W76" s="547">
        <f ca="1">IF($Y76&gt;0,CHOOSE(MATCH(RegimeExecucao,{"Unitário","Global"},0),IF($A76="S",$Y76/$X76,""),($Y76/$X76)*100),0)</f>
        <v>0</v>
      </c>
      <c r="X76" s="384" t="str">
        <f ca="1">IF($Y76&gt;0,CHOOSE(MATCH(RegimeExecucao,{"Unitário","Global"},0),IF($A76="S",ROUND($H76,ORÇAMENTO!$AF$10),""),ROUND($I76,ORÇAMENTO!$AF$11)),"")</f>
        <v/>
      </c>
      <c r="Y76" s="384">
        <f t="shared" ca="1" si="7"/>
        <v>0</v>
      </c>
      <c r="Z76" s="572"/>
      <c r="AB76" s="382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383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ht="25.5" x14ac:dyDescent="0.2">
      <c r="A77" t="str">
        <f ca="1">ORÇAMENTO!C77</f>
        <v>S</v>
      </c>
      <c r="B77">
        <f ca="1">ORÇAMENTO!D77</f>
        <v>0</v>
      </c>
      <c r="C77" s="116" t="str">
        <f t="shared" ca="1" si="1"/>
        <v>F</v>
      </c>
      <c r="D77" s="119" t="str">
        <f ca="1">ORÇAMENTO!O77</f>
        <v>2.4.4.</v>
      </c>
      <c r="E77" s="172" t="str">
        <f t="shared" ca="1" si="2"/>
        <v>Transporte com caminhão basculante de 10 m³ - rodovia pavimentada</v>
      </c>
      <c r="F77" s="173" t="str">
        <f ca="1">IF(RegimeExecucao="Global","",ORÇAMENTO.Unidade)</f>
        <v/>
      </c>
      <c r="G77" s="124" t="str">
        <f ca="1">IF(RegimeExecucao="Global","",ORÇAMENTO!T77)</f>
        <v/>
      </c>
      <c r="H77" s="124" t="str">
        <f ca="1">IF(RegimeExecucao="Global","",ORÇAMENTO!W77)</f>
        <v/>
      </c>
      <c r="I77" s="127">
        <f ca="1">ORÇAMENTO!X77</f>
        <v>14911.31</v>
      </c>
      <c r="J77" s="378">
        <f ca="1">IF($A77="S",IF(CAIXA.Modo,BM.AFAnterior,BM.MEDAnterior),IF(AND(RegimeExecucao="Global",$I77&gt;0,COUNTIF($AB$13:$AM$13,BM.medicao-1)&gt;0),M77/$I77*100,0))</f>
        <v>0</v>
      </c>
      <c r="K77" s="124">
        <f t="shared" ca="1" si="3"/>
        <v>0</v>
      </c>
      <c r="L77" s="379">
        <f ca="1">IF($A77="S",IF(CAIXA.Modo,BM.AFAcumulado,BM.MEDAcumulado),IF(AND(RegimeExecucao="Global",$I77&gt;0,COUNTIF($AB$13:$AM$13,BM.medicao)&gt;0),O77/$I77*100,0))</f>
        <v>0</v>
      </c>
      <c r="M77" s="380">
        <f ca="1">IF($A77="S",VTOTALBM,IF($A77=0,0,ROUND(SomaAgrupBM,15-13*ORÇAMENTO!$AF$11)))</f>
        <v>0</v>
      </c>
      <c r="N77" s="381">
        <f t="shared" ca="1" si="4"/>
        <v>0</v>
      </c>
      <c r="O77" s="127">
        <f ca="1">IF($A77="S",VTOTALBM,IF($A77=0,0,ROUND(SomaAgrupBM,15-13*ORÇAMENTO!$AF$11)))</f>
        <v>0</v>
      </c>
      <c r="Q77" s="382"/>
      <c r="R77" s="383"/>
      <c r="T77" s="119" t="str">
        <f t="shared" ca="1" si="5"/>
        <v/>
      </c>
      <c r="U77" s="172" t="str">
        <f t="shared" ca="1" si="6"/>
        <v/>
      </c>
      <c r="V77" s="173" t="str">
        <f ca="1">IF(AND($W77&gt;0,RegimeExecucao="Unitário"),$F77,"")</f>
        <v/>
      </c>
      <c r="W77" s="547">
        <f ca="1">IF($Y77&gt;0,CHOOSE(MATCH(RegimeExecucao,{"Unitário","Global"},0),IF($A77="S",$Y77/$X77,""),($Y77/$X77)*100),0)</f>
        <v>0</v>
      </c>
      <c r="X77" s="384" t="str">
        <f ca="1">IF($Y77&gt;0,CHOOSE(MATCH(RegimeExecucao,{"Unitário","Global"},0),IF($A77="S",ROUND($H77,ORÇAMENTO!$AF$10),""),ROUND($I77,ORÇAMENTO!$AF$11)),"")</f>
        <v/>
      </c>
      <c r="Y77" s="384">
        <f t="shared" ca="1" si="7"/>
        <v>0</v>
      </c>
      <c r="Z77" s="572"/>
      <c r="AB77" s="382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383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s="577" customFormat="1" ht="38.25" x14ac:dyDescent="0.2">
      <c r="A78" s="577" t="str">
        <f ca="1">ORÇAMENTO!C78</f>
        <v>S</v>
      </c>
      <c r="B78" s="577">
        <f ca="1">ORÇAMENTO!D78</f>
        <v>0</v>
      </c>
      <c r="C78" s="116" t="str">
        <f ca="1">IF(OR($I78&gt;0,$A78=1,$A78=2,$A78=3,$A78=4),"F","")</f>
        <v>F</v>
      </c>
      <c r="D78" s="119" t="str">
        <f ca="1">ORÇAMENTO!O78</f>
        <v>2.4.5.</v>
      </c>
      <c r="E78" s="172" t="str">
        <f ca="1">ORÇAMENTO.Descricao</f>
        <v>Carga, manobra e descarga de concreto asfáltico com borracha em caminhão basculante de 10 m³ - carga em usina de asfalto 100/140 t/h e descarga em vibroacabadora</v>
      </c>
      <c r="F78" s="173" t="str">
        <f ca="1">IF(RegimeExecucao="Global","",ORÇAMENTO.Unidade)</f>
        <v/>
      </c>
      <c r="G78" s="124" t="str">
        <f ca="1">IF(RegimeExecucao="Global","",ORÇAMENTO!T78)</f>
        <v/>
      </c>
      <c r="H78" s="124" t="str">
        <f ca="1">IF(RegimeExecucao="Global","",ORÇAMENTO!W78)</f>
        <v/>
      </c>
      <c r="I78" s="127">
        <f ca="1">ORÇAMENTO!X78</f>
        <v>5932.8</v>
      </c>
      <c r="J78" s="378">
        <f ca="1">IF($A78="S",IF(CAIXA.Modo,BM.AFAnterior,BM.MEDAnterior),IF(AND(RegimeExecucao="Global",$I78&gt;0,COUNTIF($AB$13:$AM$13,BM.medicao-1)&gt;0),M78/$I78*100,0))</f>
        <v>0</v>
      </c>
      <c r="K78" s="124">
        <f ca="1">L78-J78</f>
        <v>0</v>
      </c>
      <c r="L78" s="379">
        <f ca="1">IF($A78="S",IF(CAIXA.Modo,BM.AFAcumulado,BM.MEDAcumulado),IF(AND(RegimeExecucao="Global",$I78&gt;0,COUNTIF($AB$13:$AM$13,BM.medicao)&gt;0),O78/$I78*100,0))</f>
        <v>0</v>
      </c>
      <c r="M78" s="380">
        <f ca="1">IF($A78="S",VTOTALBM,IF($A78=0,0,ROUND(SomaAgrupBM,15-13*ORÇAMENTO!$AF$11)))</f>
        <v>0</v>
      </c>
      <c r="N78" s="381">
        <f ca="1">O78-M78</f>
        <v>0</v>
      </c>
      <c r="O78" s="127">
        <f ca="1">IF($A78="S",VTOTALBM,IF($A78=0,0,ROUND(SomaAgrupBM,15-13*ORÇAMENTO!$AF$11)))</f>
        <v>0</v>
      </c>
      <c r="Q78" s="382"/>
      <c r="R78" s="383"/>
      <c r="T78" s="119" t="str">
        <f ca="1">IF($W78&gt;0,$D78,"")</f>
        <v/>
      </c>
      <c r="U78" s="172" t="str">
        <f ca="1">IF($W78&gt;0,$E78,"")</f>
        <v/>
      </c>
      <c r="V78" s="173" t="str">
        <f ca="1">IF(AND($W78&gt;0,RegimeExecucao="Unitário"),$F78,"")</f>
        <v/>
      </c>
      <c r="W78" s="547">
        <f ca="1">IF($Y78&gt;0,CHOOSE(MATCH(RegimeExecucao,{"Unitário","Global"},0),IF($A78="S",$Y78/$X78,""),($Y78/$X78)*100),0)</f>
        <v>0</v>
      </c>
      <c r="X78" s="384" t="str">
        <f ca="1">IF($Y78&gt;0,CHOOSE(MATCH(RegimeExecucao,{"Unitário","Global"},0),IF($A78="S",ROUND($H78,ORÇAMENTO!$AF$10),""),ROUND($I78,ORÇAMENTO!$AF$11)),"")</f>
        <v/>
      </c>
      <c r="Y78" s="384">
        <f ca="1">AO78-O78</f>
        <v>0</v>
      </c>
      <c r="Z78" s="572"/>
      <c r="AB78" s="382"/>
      <c r="AC78" s="516"/>
      <c r="AD78" s="516"/>
      <c r="AE78" s="516"/>
      <c r="AF78" s="516"/>
      <c r="AG78" s="516"/>
      <c r="AH78" s="516"/>
      <c r="AI78" s="516"/>
      <c r="AJ78" s="516"/>
      <c r="AK78" s="516"/>
      <c r="AL78" s="516"/>
      <c r="AM78" s="383"/>
      <c r="AO78" s="577">
        <f ca="1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spans="1:41" s="577" customFormat="1" ht="25.5" x14ac:dyDescent="0.2">
      <c r="A79" s="577" t="str">
        <f ca="1">ORÇAMENTO!C79</f>
        <v>S</v>
      </c>
      <c r="B79" s="577">
        <f ca="1">ORÇAMENTO!D79</f>
        <v>0</v>
      </c>
      <c r="C79" s="116" t="str">
        <f t="shared" ca="1" si="1"/>
        <v>F</v>
      </c>
      <c r="D79" s="119" t="str">
        <f ca="1">ORÇAMENTO!O79</f>
        <v>2.4.6.</v>
      </c>
      <c r="E79" s="172" t="str">
        <f t="shared" ca="1" si="2"/>
        <v xml:space="preserve">CIMENTO ASFÁLTICO CAP 50/70 (Base de preço: ANP CAP 50/70 + ICMS (17%) + PIS (0,65%) + COFINS (3%) </v>
      </c>
      <c r="F79" s="173" t="str">
        <f ca="1">IF(RegimeExecucao="Global","",ORÇAMENTO.Unidade)</f>
        <v/>
      </c>
      <c r="G79" s="124" t="str">
        <f ca="1">IF(RegimeExecucao="Global","",ORÇAMENTO!T79)</f>
        <v/>
      </c>
      <c r="H79" s="124" t="str">
        <f ca="1">IF(RegimeExecucao="Global","",ORÇAMENTO!W79)</f>
        <v/>
      </c>
      <c r="I79" s="127">
        <f ca="1">ORÇAMENTO!X79</f>
        <v>156623.92000000001</v>
      </c>
      <c r="J79" s="378">
        <f ca="1">IF($A79="S",IF(CAIXA.Modo,BM.AFAnterior,BM.MEDAnterior),IF(AND(RegimeExecucao="Global",$I79&gt;0,COUNTIF($AB$13:$AM$13,BM.medicao-1)&gt;0),M79/$I79*100,0))</f>
        <v>0</v>
      </c>
      <c r="K79" s="124">
        <f t="shared" ca="1" si="3"/>
        <v>0</v>
      </c>
      <c r="L79" s="379">
        <f ca="1">IF($A79="S",IF(CAIXA.Modo,BM.AFAcumulado,BM.MEDAcumulado),IF(AND(RegimeExecucao="Global",$I79&gt;0,COUNTIF($AB$13:$AM$13,BM.medicao)&gt;0),O79/$I79*100,0))</f>
        <v>0</v>
      </c>
      <c r="M79" s="380">
        <f ca="1">IF($A79="S",VTOTALBM,IF($A79=0,0,ROUND(SomaAgrupBM,15-13*ORÇAMENTO!$AF$11)))</f>
        <v>0</v>
      </c>
      <c r="N79" s="381">
        <f t="shared" ca="1" si="4"/>
        <v>0</v>
      </c>
      <c r="O79" s="127">
        <f ca="1">IF($A79="S",VTOTALBM,IF($A79=0,0,ROUND(SomaAgrupBM,15-13*ORÇAMENTO!$AF$11)))</f>
        <v>0</v>
      </c>
      <c r="Q79" s="382"/>
      <c r="R79" s="383"/>
      <c r="T79" s="119" t="str">
        <f t="shared" ca="1" si="5"/>
        <v/>
      </c>
      <c r="U79" s="172" t="str">
        <f t="shared" ca="1" si="6"/>
        <v/>
      </c>
      <c r="V79" s="173" t="str">
        <f ca="1">IF(AND($W79&gt;0,RegimeExecucao="Unitário"),$F79,"")</f>
        <v/>
      </c>
      <c r="W79" s="547">
        <f ca="1">IF($Y79&gt;0,CHOOSE(MATCH(RegimeExecucao,{"Unitário","Global"},0),IF($A79="S",$Y79/$X79,""),($Y79/$X79)*100),0)</f>
        <v>0</v>
      </c>
      <c r="X79" s="384" t="str">
        <f ca="1">IF($Y79&gt;0,CHOOSE(MATCH(RegimeExecucao,{"Unitário","Global"},0),IF($A79="S",ROUND($H79,ORÇAMENTO!$AF$10),""),ROUND($I79,ORÇAMENTO!$AF$11)),"")</f>
        <v/>
      </c>
      <c r="Y79" s="384">
        <f t="shared" ca="1" si="7"/>
        <v>0</v>
      </c>
      <c r="Z79" s="572"/>
      <c r="AB79" s="382"/>
      <c r="AC79" s="516"/>
      <c r="AD79" s="516"/>
      <c r="AE79" s="516"/>
      <c r="AF79" s="516"/>
      <c r="AG79" s="516"/>
      <c r="AH79" s="516"/>
      <c r="AI79" s="516"/>
      <c r="AJ79" s="516"/>
      <c r="AK79" s="516"/>
      <c r="AL79" s="516"/>
      <c r="AM79" s="383"/>
      <c r="AO79" s="577">
        <f ca="1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spans="1:41" s="577" customFormat="1" ht="25.5" x14ac:dyDescent="0.2">
      <c r="A80" s="577" t="str">
        <f ca="1">ORÇAMENTO!C80</f>
        <v>S</v>
      </c>
      <c r="B80" s="577">
        <f ca="1">ORÇAMENTO!D80</f>
        <v>0</v>
      </c>
      <c r="C80" s="116" t="str">
        <f t="shared" ca="1" si="1"/>
        <v>F</v>
      </c>
      <c r="D80" s="119" t="str">
        <f ca="1">ORÇAMENTO!O80</f>
        <v>2.4.7.</v>
      </c>
      <c r="E80" s="172" t="str">
        <f t="shared" ca="1" si="2"/>
        <v xml:space="preserve">EMULSÃO ASFÁLTICA RR-2C ( Base de preço: ANP EMULSÃO RR-2C + ICMS (17%) + PIS (0,65%) + COFINS (3%) </v>
      </c>
      <c r="F80" s="173" t="str">
        <f ca="1">IF(RegimeExecucao="Global","",ORÇAMENTO.Unidade)</f>
        <v/>
      </c>
      <c r="G80" s="124" t="str">
        <f ca="1">IF(RegimeExecucao="Global","",ORÇAMENTO!T80)</f>
        <v/>
      </c>
      <c r="H80" s="124" t="str">
        <f ca="1">IF(RegimeExecucao="Global","",ORÇAMENTO!W80)</f>
        <v/>
      </c>
      <c r="I80" s="127">
        <f ca="1">ORÇAMENTO!X80</f>
        <v>6842.62</v>
      </c>
      <c r="J80" s="378">
        <f ca="1">IF($A80="S",IF(CAIXA.Modo,BM.AFAnterior,BM.MEDAnterior),IF(AND(RegimeExecucao="Global",$I80&gt;0,COUNTIF($AB$13:$AM$13,BM.medicao-1)&gt;0),M80/$I80*100,0))</f>
        <v>0</v>
      </c>
      <c r="K80" s="124">
        <f t="shared" ca="1" si="3"/>
        <v>0</v>
      </c>
      <c r="L80" s="379">
        <f ca="1">IF($A80="S",IF(CAIXA.Modo,BM.AFAcumulado,BM.MEDAcumulado),IF(AND(RegimeExecucao="Global",$I80&gt;0,COUNTIF($AB$13:$AM$13,BM.medicao)&gt;0),O80/$I80*100,0))</f>
        <v>0</v>
      </c>
      <c r="M80" s="380">
        <f ca="1">IF($A80="S",VTOTALBM,IF($A80=0,0,ROUND(SomaAgrupBM,15-13*ORÇAMENTO!$AF$11)))</f>
        <v>0</v>
      </c>
      <c r="N80" s="381">
        <f t="shared" ca="1" si="4"/>
        <v>0</v>
      </c>
      <c r="O80" s="127">
        <f ca="1">IF($A80="S",VTOTALBM,IF($A80=0,0,ROUND(SomaAgrupBM,15-13*ORÇAMENTO!$AF$11)))</f>
        <v>0</v>
      </c>
      <c r="Q80" s="382"/>
      <c r="R80" s="383"/>
      <c r="T80" s="119" t="str">
        <f t="shared" ca="1" si="5"/>
        <v/>
      </c>
      <c r="U80" s="172" t="str">
        <f t="shared" ca="1" si="6"/>
        <v/>
      </c>
      <c r="V80" s="173" t="str">
        <f ca="1">IF(AND($W80&gt;0,RegimeExecucao="Unitário"),$F80,"")</f>
        <v/>
      </c>
      <c r="W80" s="547">
        <f ca="1">IF($Y80&gt;0,CHOOSE(MATCH(RegimeExecucao,{"Unitário","Global"},0),IF($A80="S",$Y80/$X80,""),($Y80/$X80)*100),0)</f>
        <v>0</v>
      </c>
      <c r="X80" s="384" t="str">
        <f ca="1">IF($Y80&gt;0,CHOOSE(MATCH(RegimeExecucao,{"Unitário","Global"},0),IF($A80="S",ROUND($H80,ORÇAMENTO!$AF$10),""),ROUND($I80,ORÇAMENTO!$AF$11)),"")</f>
        <v/>
      </c>
      <c r="Y80" s="384">
        <f t="shared" ca="1" si="7"/>
        <v>0</v>
      </c>
      <c r="Z80" s="572"/>
      <c r="AB80" s="382"/>
      <c r="AC80" s="516"/>
      <c r="AD80" s="516"/>
      <c r="AE80" s="516"/>
      <c r="AF80" s="516"/>
      <c r="AG80" s="516"/>
      <c r="AH80" s="516"/>
      <c r="AI80" s="516"/>
      <c r="AJ80" s="516"/>
      <c r="AK80" s="516"/>
      <c r="AL80" s="516"/>
      <c r="AM80" s="383"/>
      <c r="AO80" s="577">
        <f ca="1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spans="1:41" s="577" customFormat="1" ht="25.5" x14ac:dyDescent="0.2">
      <c r="A81" s="577" t="str">
        <f ca="1">ORÇAMENTO!C81</f>
        <v>S</v>
      </c>
      <c r="B81" s="577">
        <f ca="1">ORÇAMENTO!D81</f>
        <v>0</v>
      </c>
      <c r="C81" s="116" t="str">
        <f t="shared" ca="1" si="1"/>
        <v>F</v>
      </c>
      <c r="D81" s="119" t="str">
        <f ca="1">ORÇAMENTO!O81</f>
        <v>2.4.8.</v>
      </c>
      <c r="E81" s="172" t="str">
        <f t="shared" ca="1" si="2"/>
        <v>Transporte de material betuminoso com caminhão tanque distribuidor - rodovia pavimentada</v>
      </c>
      <c r="F81" s="173" t="str">
        <f ca="1">IF(RegimeExecucao="Global","",ORÇAMENTO.Unidade)</f>
        <v/>
      </c>
      <c r="G81" s="124" t="str">
        <f ca="1">IF(RegimeExecucao="Global","",ORÇAMENTO!T81)</f>
        <v/>
      </c>
      <c r="H81" s="124" t="str">
        <f ca="1">IF(RegimeExecucao="Global","",ORÇAMENTO!W81)</f>
        <v/>
      </c>
      <c r="I81" s="127">
        <f ca="1">ORÇAMENTO!X81</f>
        <v>37784.879999999997</v>
      </c>
      <c r="J81" s="378">
        <f ca="1">IF($A81="S",IF(CAIXA.Modo,BM.AFAnterior,BM.MEDAnterior),IF(AND(RegimeExecucao="Global",$I81&gt;0,COUNTIF($AB$13:$AM$13,BM.medicao-1)&gt;0),M81/$I81*100,0))</f>
        <v>0</v>
      </c>
      <c r="K81" s="124">
        <f t="shared" ca="1" si="3"/>
        <v>0</v>
      </c>
      <c r="L81" s="379">
        <f ca="1">IF($A81="S",IF(CAIXA.Modo,BM.AFAcumulado,BM.MEDAcumulado),IF(AND(RegimeExecucao="Global",$I81&gt;0,COUNTIF($AB$13:$AM$13,BM.medicao)&gt;0),O81/$I81*100,0))</f>
        <v>0</v>
      </c>
      <c r="M81" s="380">
        <f ca="1">IF($A81="S",VTOTALBM,IF($A81=0,0,ROUND(SomaAgrupBM,15-13*ORÇAMENTO!$AF$11)))</f>
        <v>0</v>
      </c>
      <c r="N81" s="381">
        <f t="shared" ca="1" si="4"/>
        <v>0</v>
      </c>
      <c r="O81" s="127">
        <f ca="1">IF($A81="S",VTOTALBM,IF($A81=0,0,ROUND(SomaAgrupBM,15-13*ORÇAMENTO!$AF$11)))</f>
        <v>0</v>
      </c>
      <c r="Q81" s="382"/>
      <c r="R81" s="383"/>
      <c r="T81" s="119" t="str">
        <f t="shared" ca="1" si="5"/>
        <v/>
      </c>
      <c r="U81" s="172" t="str">
        <f t="shared" ca="1" si="6"/>
        <v/>
      </c>
      <c r="V81" s="173" t="str">
        <f ca="1">IF(AND($W81&gt;0,RegimeExecucao="Unitário"),$F81,"")</f>
        <v/>
      </c>
      <c r="W81" s="547">
        <f ca="1">IF($Y81&gt;0,CHOOSE(MATCH(RegimeExecucao,{"Unitário","Global"},0),IF($A81="S",$Y81/$X81,""),($Y81/$X81)*100),0)</f>
        <v>0</v>
      </c>
      <c r="X81" s="384" t="str">
        <f ca="1">IF($Y81&gt;0,CHOOSE(MATCH(RegimeExecucao,{"Unitário","Global"},0),IF($A81="S",ROUND($H81,ORÇAMENTO!$AF$10),""),ROUND($I81,ORÇAMENTO!$AF$11)),"")</f>
        <v/>
      </c>
      <c r="Y81" s="384">
        <f t="shared" ca="1" si="7"/>
        <v>0</v>
      </c>
      <c r="Z81" s="572"/>
      <c r="AB81" s="382"/>
      <c r="AC81" s="516"/>
      <c r="AD81" s="516"/>
      <c r="AE81" s="516"/>
      <c r="AF81" s="516"/>
      <c r="AG81" s="516"/>
      <c r="AH81" s="516"/>
      <c r="AI81" s="516"/>
      <c r="AJ81" s="516"/>
      <c r="AK81" s="516"/>
      <c r="AL81" s="516"/>
      <c r="AM81" s="383"/>
      <c r="AO81" s="577">
        <f ca="1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spans="1:41" x14ac:dyDescent="0.2">
      <c r="A82">
        <f ca="1">ORÇAMENTO!C82</f>
        <v>2</v>
      </c>
      <c r="B82">
        <f ca="1">ORÇAMENTO!D82</f>
        <v>5</v>
      </c>
      <c r="C82" s="116" t="str">
        <f t="shared" ca="1" si="1"/>
        <v>F</v>
      </c>
      <c r="D82" s="119" t="str">
        <f ca="1">ORÇAMENTO!O82</f>
        <v>2.5.</v>
      </c>
      <c r="E82" s="172" t="str">
        <f t="shared" si="2"/>
        <v>SINALIZAÇÃO</v>
      </c>
      <c r="F82" s="173" t="str">
        <f ca="1">IF(RegimeExecucao="Global","",ORÇAMENTO.Unidade)</f>
        <v/>
      </c>
      <c r="G82" s="124" t="str">
        <f ca="1">IF(RegimeExecucao="Global","",ORÇAMENTO!T82)</f>
        <v/>
      </c>
      <c r="H82" s="124" t="str">
        <f ca="1">IF(RegimeExecucao="Global","",ORÇAMENTO!W82)</f>
        <v/>
      </c>
      <c r="I82" s="127">
        <f ca="1">ORÇAMENTO!X82</f>
        <v>8585.59</v>
      </c>
      <c r="J82" s="378">
        <f ca="1">IF($A82="S",IF(CAIXA.Modo,BM.AFAnterior,BM.MEDAnterior),IF(AND(RegimeExecucao="Global",$I82&gt;0,COUNTIF($AB$13:$AM$13,BM.medicao-1)&gt;0),M82/$I82*100,0))</f>
        <v>0</v>
      </c>
      <c r="K82" s="124">
        <f t="shared" ca="1" si="3"/>
        <v>0</v>
      </c>
      <c r="L82" s="379">
        <f ca="1">IF($A82="S",IF(CAIXA.Modo,BM.AFAcumulado,BM.MEDAcumulado),IF(AND(RegimeExecucao="Global",$I82&gt;0,COUNTIF($AB$13:$AM$13,BM.medicao)&gt;0),O82/$I82*100,0))</f>
        <v>0</v>
      </c>
      <c r="M82" s="380">
        <f ca="1">IF($A82="S",VTOTALBM,IF($A82=0,0,ROUND(SomaAgrupBM,15-13*ORÇAMENTO!$AF$11)))</f>
        <v>0</v>
      </c>
      <c r="N82" s="381">
        <f t="shared" ca="1" si="4"/>
        <v>0</v>
      </c>
      <c r="O82" s="127">
        <f ca="1">IF($A82="S",VTOTALBM,IF($A82=0,0,ROUND(SomaAgrupBM,15-13*ORÇAMENTO!$AF$11)))</f>
        <v>0</v>
      </c>
      <c r="Q82" s="382"/>
      <c r="R82" s="383"/>
      <c r="T82" s="119" t="str">
        <f t="shared" ca="1" si="5"/>
        <v/>
      </c>
      <c r="U82" s="172" t="str">
        <f t="shared" ca="1" si="6"/>
        <v/>
      </c>
      <c r="V82" s="173" t="str">
        <f ca="1">IF(AND($W82&gt;0,RegimeExecucao="Unitário"),$F82,"")</f>
        <v/>
      </c>
      <c r="W82" s="547">
        <f ca="1">IF($Y82&gt;0,CHOOSE(MATCH(RegimeExecucao,{"Unitário","Global"},0),IF($A82="S",$Y82/$X82,""),($Y82/$X82)*100),0)</f>
        <v>0</v>
      </c>
      <c r="X82" s="384" t="str">
        <f ca="1">IF($Y82&gt;0,CHOOSE(MATCH(RegimeExecucao,{"Unitário","Global"},0),IF($A82="S",ROUND($H82,ORÇAMENTO!$AF$10),""),ROUND($I82,ORÇAMENTO!$AF$11)),"")</f>
        <v/>
      </c>
      <c r="Y82" s="384">
        <f t="shared" ca="1" si="7"/>
        <v>0</v>
      </c>
      <c r="Z82" s="572"/>
      <c r="AB82" s="382"/>
      <c r="AC82" s="516"/>
      <c r="AD82" s="516"/>
      <c r="AE82" s="516"/>
      <c r="AF82" s="516"/>
      <c r="AG82" s="516"/>
      <c r="AH82" s="516"/>
      <c r="AI82" s="516"/>
      <c r="AJ82" s="516"/>
      <c r="AK82" s="516"/>
      <c r="AL82" s="516"/>
      <c r="AM82" s="383"/>
      <c r="AO82">
        <f ca="1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spans="1:41" ht="25.5" x14ac:dyDescent="0.2">
      <c r="A83" t="str">
        <f ca="1">ORÇAMENTO!C83</f>
        <v>S</v>
      </c>
      <c r="B83">
        <f ca="1">ORÇAMENTO!D83</f>
        <v>0</v>
      </c>
      <c r="C83" s="116" t="str">
        <f t="shared" ca="1" si="1"/>
        <v>F</v>
      </c>
      <c r="D83" s="119" t="str">
        <f ca="1">ORÇAMENTO!O83</f>
        <v>2.5.1.</v>
      </c>
      <c r="E83" s="172" t="str">
        <f t="shared" ca="1" si="2"/>
        <v>Placa de advertência em aço, lado de 0,60 m - película retrorrefletiva tipo I + SI - fornecimento e implantação</v>
      </c>
      <c r="F83" s="173" t="str">
        <f ca="1">IF(RegimeExecucao="Global","",ORÇAMENTO.Unidade)</f>
        <v/>
      </c>
      <c r="G83" s="124" t="str">
        <f ca="1">IF(RegimeExecucao="Global","",ORÇAMENTO!T83)</f>
        <v/>
      </c>
      <c r="H83" s="124" t="str">
        <f ca="1">IF(RegimeExecucao="Global","",ORÇAMENTO!W83)</f>
        <v/>
      </c>
      <c r="I83" s="127">
        <f ca="1">ORÇAMENTO!X83</f>
        <v>2836.16</v>
      </c>
      <c r="J83" s="378">
        <f ca="1">IF($A83="S",IF(CAIXA.Modo,BM.AFAnterior,BM.MEDAnterior),IF(AND(RegimeExecucao="Global",$I83&gt;0,COUNTIF($AB$13:$AM$13,BM.medicao-1)&gt;0),M83/$I83*100,0))</f>
        <v>0</v>
      </c>
      <c r="K83" s="124">
        <f t="shared" ca="1" si="3"/>
        <v>0</v>
      </c>
      <c r="L83" s="379">
        <f ca="1">IF($A83="S",IF(CAIXA.Modo,BM.AFAcumulado,BM.MEDAcumulado),IF(AND(RegimeExecucao="Global",$I83&gt;0,COUNTIF($AB$13:$AM$13,BM.medicao)&gt;0),O83/$I83*100,0))</f>
        <v>0</v>
      </c>
      <c r="M83" s="380">
        <f ca="1">IF($A83="S",VTOTALBM,IF($A83=0,0,ROUND(SomaAgrupBM,15-13*ORÇAMENTO!$AF$11)))</f>
        <v>0</v>
      </c>
      <c r="N83" s="381">
        <f t="shared" ca="1" si="4"/>
        <v>0</v>
      </c>
      <c r="O83" s="127">
        <f ca="1">IF($A83="S",VTOTALBM,IF($A83=0,0,ROUND(SomaAgrupBM,15-13*ORÇAMENTO!$AF$11)))</f>
        <v>0</v>
      </c>
      <c r="Q83" s="382"/>
      <c r="R83" s="383"/>
      <c r="T83" s="119" t="str">
        <f t="shared" ca="1" si="5"/>
        <v/>
      </c>
      <c r="U83" s="172" t="str">
        <f t="shared" ca="1" si="6"/>
        <v/>
      </c>
      <c r="V83" s="173" t="str">
        <f ca="1">IF(AND($W83&gt;0,RegimeExecucao="Unitário"),$F83,"")</f>
        <v/>
      </c>
      <c r="W83" s="547">
        <f ca="1">IF($Y83&gt;0,CHOOSE(MATCH(RegimeExecucao,{"Unitário","Global"},0),IF($A83="S",$Y83/$X83,""),($Y83/$X83)*100),0)</f>
        <v>0</v>
      </c>
      <c r="X83" s="384" t="str">
        <f ca="1">IF($Y83&gt;0,CHOOSE(MATCH(RegimeExecucao,{"Unitário","Global"},0),IF($A83="S",ROUND($H83,ORÇAMENTO!$AF$10),""),ROUND($I83,ORÇAMENTO!$AF$11)),"")</f>
        <v/>
      </c>
      <c r="Y83" s="384">
        <f t="shared" ca="1" si="7"/>
        <v>0</v>
      </c>
      <c r="Z83" s="572"/>
      <c r="AB83" s="382"/>
      <c r="AC83" s="516"/>
      <c r="AD83" s="516"/>
      <c r="AE83" s="516"/>
      <c r="AF83" s="516"/>
      <c r="AG83" s="516"/>
      <c r="AH83" s="516"/>
      <c r="AI83" s="516"/>
      <c r="AJ83" s="516"/>
      <c r="AK83" s="516"/>
      <c r="AL83" s="516"/>
      <c r="AM83" s="383"/>
      <c r="AO83">
        <f ca="1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spans="1:41" ht="25.5" x14ac:dyDescent="0.2">
      <c r="A84" t="str">
        <f ca="1">ORÇAMENTO!C84</f>
        <v>S</v>
      </c>
      <c r="B84">
        <f ca="1">ORÇAMENTO!D84</f>
        <v>0</v>
      </c>
      <c r="C84" s="116" t="str">
        <f t="shared" ca="1" si="1"/>
        <v>F</v>
      </c>
      <c r="D84" s="119" t="str">
        <f ca="1">ORÇAMENTO!O84</f>
        <v>2.5.2.</v>
      </c>
      <c r="E84" s="172" t="str">
        <f t="shared" ca="1" si="2"/>
        <v>Placa em aço nº 16 galvanizado com película retrorrefletiva tipo I + SI - confecção</v>
      </c>
      <c r="F84" s="173" t="str">
        <f ca="1">IF(RegimeExecucao="Global","",ORÇAMENTO.Unidade)</f>
        <v/>
      </c>
      <c r="G84" s="124" t="str">
        <f ca="1">IF(RegimeExecucao="Global","",ORÇAMENTO!T84)</f>
        <v/>
      </c>
      <c r="H84" s="124" t="str">
        <f ca="1">IF(RegimeExecucao="Global","",ORÇAMENTO!W84)</f>
        <v/>
      </c>
      <c r="I84" s="127">
        <f ca="1">ORÇAMENTO!X84</f>
        <v>193.48</v>
      </c>
      <c r="J84" s="378">
        <f ca="1">IF($A84="S",IF(CAIXA.Modo,BM.AFAnterior,BM.MEDAnterior),IF(AND(RegimeExecucao="Global",$I84&gt;0,COUNTIF($AB$13:$AM$13,BM.medicao-1)&gt;0),M84/$I84*100,0))</f>
        <v>0</v>
      </c>
      <c r="K84" s="124">
        <f t="shared" ca="1" si="3"/>
        <v>0</v>
      </c>
      <c r="L84" s="379">
        <f ca="1">IF($A84="S",IF(CAIXA.Modo,BM.AFAcumulado,BM.MEDAcumulado),IF(AND(RegimeExecucao="Global",$I84&gt;0,COUNTIF($AB$13:$AM$13,BM.medicao)&gt;0),O84/$I84*100,0))</f>
        <v>0</v>
      </c>
      <c r="M84" s="380">
        <f ca="1">IF($A84="S",VTOTALBM,IF($A84=0,0,ROUND(SomaAgrupBM,15-13*ORÇAMENTO!$AF$11)))</f>
        <v>0</v>
      </c>
      <c r="N84" s="381">
        <f t="shared" ca="1" si="4"/>
        <v>0</v>
      </c>
      <c r="O84" s="127">
        <f ca="1">IF($A84="S",VTOTALBM,IF($A84=0,0,ROUND(SomaAgrupBM,15-13*ORÇAMENTO!$AF$11)))</f>
        <v>0</v>
      </c>
      <c r="Q84" s="382"/>
      <c r="R84" s="383"/>
      <c r="T84" s="119" t="str">
        <f t="shared" ca="1" si="5"/>
        <v/>
      </c>
      <c r="U84" s="172" t="str">
        <f t="shared" ca="1" si="6"/>
        <v/>
      </c>
      <c r="V84" s="173" t="str">
        <f ca="1">IF(AND($W84&gt;0,RegimeExecucao="Unitário"),$F84,"")</f>
        <v/>
      </c>
      <c r="W84" s="547">
        <f ca="1">IF($Y84&gt;0,CHOOSE(MATCH(RegimeExecucao,{"Unitário","Global"},0),IF($A84="S",$Y84/$X84,""),($Y84/$X84)*100),0)</f>
        <v>0</v>
      </c>
      <c r="X84" s="384" t="str">
        <f ca="1">IF($Y84&gt;0,CHOOSE(MATCH(RegimeExecucao,{"Unitário","Global"},0),IF($A84="S",ROUND($H84,ORÇAMENTO!$AF$10),""),ROUND($I84,ORÇAMENTO!$AF$11)),"")</f>
        <v/>
      </c>
      <c r="Y84" s="384">
        <f t="shared" ca="1" si="7"/>
        <v>0</v>
      </c>
      <c r="Z84" s="572"/>
      <c r="AB84" s="382"/>
      <c r="AC84" s="516"/>
      <c r="AD84" s="516"/>
      <c r="AE84" s="516"/>
      <c r="AF84" s="516"/>
      <c r="AG84" s="516"/>
      <c r="AH84" s="516"/>
      <c r="AI84" s="516"/>
      <c r="AJ84" s="516"/>
      <c r="AK84" s="516"/>
      <c r="AL84" s="516"/>
      <c r="AM84" s="383"/>
      <c r="AO84">
        <f ca="1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spans="1:41" ht="38.25" x14ac:dyDescent="0.2">
      <c r="A85" t="str">
        <f ca="1">ORÇAMENTO!C85</f>
        <v>S</v>
      </c>
      <c r="B85">
        <f ca="1">ORÇAMENTO!D85</f>
        <v>0</v>
      </c>
      <c r="C85" s="116" t="str">
        <f t="shared" ca="1" si="1"/>
        <v>F</v>
      </c>
      <c r="D85" s="119" t="str">
        <f ca="1">ORÇAMENTO!O85</f>
        <v>2.5.3.</v>
      </c>
      <c r="E85" s="172" t="str">
        <f t="shared" ca="1" si="2"/>
        <v>Suporte metálico galvanizado para placa de advertência ou regulamentação - lado ou diâmetro de 0,60 m - fornecimento e implantação</v>
      </c>
      <c r="F85" s="173" t="str">
        <f ca="1">IF(RegimeExecucao="Global","",ORÇAMENTO.Unidade)</f>
        <v/>
      </c>
      <c r="G85" s="124" t="str">
        <f ca="1">IF(RegimeExecucao="Global","",ORÇAMENTO!T85)</f>
        <v/>
      </c>
      <c r="H85" s="124" t="str">
        <f ca="1">IF(RegimeExecucao="Global","",ORÇAMENTO!W85)</f>
        <v/>
      </c>
      <c r="I85" s="127">
        <f ca="1">ORÇAMENTO!X85</f>
        <v>5521.59</v>
      </c>
      <c r="J85" s="378">
        <f ca="1">IF($A85="S",IF(CAIXA.Modo,BM.AFAnterior,BM.MEDAnterior),IF(AND(RegimeExecucao="Global",$I85&gt;0,COUNTIF($AB$13:$AM$13,BM.medicao-1)&gt;0),M85/$I85*100,0))</f>
        <v>0</v>
      </c>
      <c r="K85" s="124">
        <f t="shared" ca="1" si="3"/>
        <v>0</v>
      </c>
      <c r="L85" s="379">
        <f ca="1">IF($A85="S",IF(CAIXA.Modo,BM.AFAcumulado,BM.MEDAcumulado),IF(AND(RegimeExecucao="Global",$I85&gt;0,COUNTIF($AB$13:$AM$13,BM.medicao)&gt;0),O85/$I85*100,0))</f>
        <v>0</v>
      </c>
      <c r="M85" s="380">
        <f ca="1">IF($A85="S",VTOTALBM,IF($A85=0,0,ROUND(SomaAgrupBM,15-13*ORÇAMENTO!$AF$11)))</f>
        <v>0</v>
      </c>
      <c r="N85" s="381">
        <f t="shared" ca="1" si="4"/>
        <v>0</v>
      </c>
      <c r="O85" s="127">
        <f ca="1">IF($A85="S",VTOTALBM,IF($A85=0,0,ROUND(SomaAgrupBM,15-13*ORÇAMENTO!$AF$11)))</f>
        <v>0</v>
      </c>
      <c r="Q85" s="382"/>
      <c r="R85" s="383"/>
      <c r="T85" s="119" t="str">
        <f t="shared" ca="1" si="5"/>
        <v/>
      </c>
      <c r="U85" s="172" t="str">
        <f t="shared" ca="1" si="6"/>
        <v/>
      </c>
      <c r="V85" s="173" t="str">
        <f ca="1">IF(AND($W85&gt;0,RegimeExecucao="Unitário"),$F85,"")</f>
        <v/>
      </c>
      <c r="W85" s="547">
        <f ca="1">IF($Y85&gt;0,CHOOSE(MATCH(RegimeExecucao,{"Unitário","Global"},0),IF($A85="S",$Y85/$X85,""),($Y85/$X85)*100),0)</f>
        <v>0</v>
      </c>
      <c r="X85" s="384" t="str">
        <f ca="1">IF($Y85&gt;0,CHOOSE(MATCH(RegimeExecucao,{"Unitário","Global"},0),IF($A85="S",ROUND($H85,ORÇAMENTO!$AF$10),""),ROUND($I85,ORÇAMENTO!$AF$11)),"")</f>
        <v/>
      </c>
      <c r="Y85" s="384">
        <f t="shared" ca="1" si="7"/>
        <v>0</v>
      </c>
      <c r="Z85" s="572"/>
      <c r="AB85" s="382"/>
      <c r="AC85" s="516"/>
      <c r="AD85" s="516"/>
      <c r="AE85" s="516"/>
      <c r="AF85" s="516"/>
      <c r="AG85" s="516"/>
      <c r="AH85" s="516"/>
      <c r="AI85" s="516"/>
      <c r="AJ85" s="516"/>
      <c r="AK85" s="516"/>
      <c r="AL85" s="516"/>
      <c r="AM85" s="383"/>
      <c r="AO85">
        <f ca="1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spans="1:41" x14ac:dyDescent="0.2">
      <c r="A86" t="str">
        <f ca="1">ORÇAMENTO!C86</f>
        <v>S</v>
      </c>
      <c r="B86">
        <f ca="1">ORÇAMENTO!D86</f>
        <v>0</v>
      </c>
      <c r="C86" s="116" t="str">
        <f t="shared" ca="1" si="1"/>
        <v>F</v>
      </c>
      <c r="D86" s="119" t="str">
        <f ca="1">ORÇAMENTO!O86</f>
        <v>2.5.4.</v>
      </c>
      <c r="E86" s="172" t="str">
        <f t="shared" ca="1" si="2"/>
        <v>Pintura de faixa com tinta acrílica - espessura de 0,6 mm</v>
      </c>
      <c r="F86" s="173" t="str">
        <f ca="1">IF(RegimeExecucao="Global","",ORÇAMENTO.Unidade)</f>
        <v/>
      </c>
      <c r="G86" s="124" t="str">
        <f ca="1">IF(RegimeExecucao="Global","",ORÇAMENTO!T86)</f>
        <v/>
      </c>
      <c r="H86" s="124" t="str">
        <f ca="1">IF(RegimeExecucao="Global","",ORÇAMENTO!W86)</f>
        <v/>
      </c>
      <c r="I86" s="127">
        <f ca="1">ORÇAMENTO!X86</f>
        <v>34.36</v>
      </c>
      <c r="J86" s="378">
        <f ca="1">IF($A86="S",IF(CAIXA.Modo,BM.AFAnterior,BM.MEDAnterior),IF(AND(RegimeExecucao="Global",$I86&gt;0,COUNTIF($AB$13:$AM$13,BM.medicao-1)&gt;0),M86/$I86*100,0))</f>
        <v>0</v>
      </c>
      <c r="K86" s="124">
        <f t="shared" ca="1" si="3"/>
        <v>0</v>
      </c>
      <c r="L86" s="379">
        <f ca="1">IF($A86="S",IF(CAIXA.Modo,BM.AFAcumulado,BM.MEDAcumulado),IF(AND(RegimeExecucao="Global",$I86&gt;0,COUNTIF($AB$13:$AM$13,BM.medicao)&gt;0),O86/$I86*100,0))</f>
        <v>0</v>
      </c>
      <c r="M86" s="380">
        <f ca="1">IF($A86="S",VTOTALBM,IF($A86=0,0,ROUND(SomaAgrupBM,15-13*ORÇAMENTO!$AF$11)))</f>
        <v>0</v>
      </c>
      <c r="N86" s="381">
        <f t="shared" ca="1" si="4"/>
        <v>0</v>
      </c>
      <c r="O86" s="127">
        <f ca="1">IF($A86="S",VTOTALBM,IF($A86=0,0,ROUND(SomaAgrupBM,15-13*ORÇAMENTO!$AF$11)))</f>
        <v>0</v>
      </c>
      <c r="Q86" s="382"/>
      <c r="R86" s="383"/>
      <c r="T86" s="119" t="str">
        <f t="shared" ca="1" si="5"/>
        <v/>
      </c>
      <c r="U86" s="172" t="str">
        <f t="shared" ca="1" si="6"/>
        <v/>
      </c>
      <c r="V86" s="173" t="str">
        <f ca="1">IF(AND($W86&gt;0,RegimeExecucao="Unitário"),$F86,"")</f>
        <v/>
      </c>
      <c r="W86" s="547">
        <f ca="1">IF($Y86&gt;0,CHOOSE(MATCH(RegimeExecucao,{"Unitário","Global"},0),IF($A86="S",$Y86/$X86,""),($Y86/$X86)*100),0)</f>
        <v>0</v>
      </c>
      <c r="X86" s="384" t="str">
        <f ca="1">IF($Y86&gt;0,CHOOSE(MATCH(RegimeExecucao,{"Unitário","Global"},0),IF($A86="S",ROUND($H86,ORÇAMENTO!$AF$10),""),ROUND($I86,ORÇAMENTO!$AF$11)),"")</f>
        <v/>
      </c>
      <c r="Y86" s="384">
        <f t="shared" ca="1" si="7"/>
        <v>0</v>
      </c>
      <c r="Z86" s="572"/>
      <c r="AB86" s="382"/>
      <c r="AC86" s="516"/>
      <c r="AD86" s="516"/>
      <c r="AE86" s="516"/>
      <c r="AF86" s="516"/>
      <c r="AG86" s="516"/>
      <c r="AH86" s="516"/>
      <c r="AI86" s="516"/>
      <c r="AJ86" s="516"/>
      <c r="AK86" s="516"/>
      <c r="AL86" s="516"/>
      <c r="AM86" s="383"/>
      <c r="AO86">
        <f ca="1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spans="1:41" x14ac:dyDescent="0.2">
      <c r="A87">
        <f ca="1">ORÇAMENTO!C87</f>
        <v>1</v>
      </c>
      <c r="B87">
        <f ca="1">ORÇAMENTO!D87</f>
        <v>32</v>
      </c>
      <c r="C87" s="116" t="str">
        <f t="shared" ca="1" si="1"/>
        <v>F</v>
      </c>
      <c r="D87" s="119" t="str">
        <f ca="1">ORÇAMENTO!O87</f>
        <v>3.</v>
      </c>
      <c r="E87" s="172" t="str">
        <f t="shared" si="2"/>
        <v>TRECHO 03 - Rua Presidente Castelo Branco</v>
      </c>
      <c r="F87" s="173" t="str">
        <f ca="1">IF(RegimeExecucao="Global","",ORÇAMENTO.Unidade)</f>
        <v/>
      </c>
      <c r="G87" s="124" t="str">
        <f ca="1">IF(RegimeExecucao="Global","",ORÇAMENTO!T87)</f>
        <v/>
      </c>
      <c r="H87" s="124" t="str">
        <f ca="1">IF(RegimeExecucao="Global","",ORÇAMENTO!W87)</f>
        <v/>
      </c>
      <c r="I87" s="127">
        <f ca="1">ORÇAMENTO!X87</f>
        <v>374186.44</v>
      </c>
      <c r="J87" s="378">
        <f ca="1">IF($A87="S",IF(CAIXA.Modo,BM.AFAnterior,BM.MEDAnterior),IF(AND(RegimeExecucao="Global",$I87&gt;0,COUNTIF($AB$13:$AM$13,BM.medicao-1)&gt;0),M87/$I87*100,0))</f>
        <v>0</v>
      </c>
      <c r="K87" s="124">
        <f t="shared" ca="1" si="3"/>
        <v>0</v>
      </c>
      <c r="L87" s="379">
        <f ca="1">IF($A87="S",IF(CAIXA.Modo,BM.AFAcumulado,BM.MEDAcumulado),IF(AND(RegimeExecucao="Global",$I87&gt;0,COUNTIF($AB$13:$AM$13,BM.medicao)&gt;0),O87/$I87*100,0))</f>
        <v>0</v>
      </c>
      <c r="M87" s="380">
        <f ca="1">IF($A87="S",VTOTALBM,IF($A87=0,0,ROUND(SomaAgrupBM,15-13*ORÇAMENTO!$AF$11)))</f>
        <v>0</v>
      </c>
      <c r="N87" s="381">
        <f t="shared" ca="1" si="4"/>
        <v>0</v>
      </c>
      <c r="O87" s="127">
        <f ca="1">IF($A87="S",VTOTALBM,IF($A87=0,0,ROUND(SomaAgrupBM,15-13*ORÇAMENTO!$AF$11)))</f>
        <v>0</v>
      </c>
      <c r="Q87" s="382"/>
      <c r="R87" s="383"/>
      <c r="T87" s="119" t="str">
        <f t="shared" ca="1" si="5"/>
        <v/>
      </c>
      <c r="U87" s="172" t="str">
        <f t="shared" ca="1" si="6"/>
        <v/>
      </c>
      <c r="V87" s="173" t="str">
        <f ca="1">IF(AND($W87&gt;0,RegimeExecucao="Unitário"),$F87,"")</f>
        <v/>
      </c>
      <c r="W87" s="547">
        <f ca="1">IF($Y87&gt;0,CHOOSE(MATCH(RegimeExecucao,{"Unitário","Global"},0),IF($A87="S",$Y87/$X87,""),($Y87/$X87)*100),0)</f>
        <v>0</v>
      </c>
      <c r="X87" s="384" t="str">
        <f ca="1">IF($Y87&gt;0,CHOOSE(MATCH(RegimeExecucao,{"Unitário","Global"},0),IF($A87="S",ROUND($H87,ORÇAMENTO!$AF$10),""),ROUND($I87,ORÇAMENTO!$AF$11)),"")</f>
        <v/>
      </c>
      <c r="Y87" s="384">
        <f t="shared" ca="1" si="7"/>
        <v>0</v>
      </c>
      <c r="Z87" s="572"/>
      <c r="AB87" s="382"/>
      <c r="AC87" s="516"/>
      <c r="AD87" s="516"/>
      <c r="AE87" s="516"/>
      <c r="AF87" s="516"/>
      <c r="AG87" s="516"/>
      <c r="AH87" s="516"/>
      <c r="AI87" s="516"/>
      <c r="AJ87" s="516"/>
      <c r="AK87" s="516"/>
      <c r="AL87" s="516"/>
      <c r="AM87" s="383"/>
      <c r="AO87">
        <f ca="1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spans="1:41" x14ac:dyDescent="0.2">
      <c r="A88">
        <f ca="1">ORÇAMENTO!C88</f>
        <v>2</v>
      </c>
      <c r="B88">
        <f ca="1">ORÇAMENTO!D88</f>
        <v>4</v>
      </c>
      <c r="C88" s="116" t="str">
        <f t="shared" ca="1" si="1"/>
        <v>F</v>
      </c>
      <c r="D88" s="119" t="str">
        <f ca="1">ORÇAMENTO!O88</f>
        <v>3.1.</v>
      </c>
      <c r="E88" s="172" t="str">
        <f t="shared" si="2"/>
        <v xml:space="preserve">SERVIÇOS INICIAIS </v>
      </c>
      <c r="F88" s="173" t="str">
        <f ca="1">IF(RegimeExecucao="Global","",ORÇAMENTO.Unidade)</f>
        <v/>
      </c>
      <c r="G88" s="124" t="str">
        <f ca="1">IF(RegimeExecucao="Global","",ORÇAMENTO!T88)</f>
        <v/>
      </c>
      <c r="H88" s="124" t="str">
        <f ca="1">IF(RegimeExecucao="Global","",ORÇAMENTO!W88)</f>
        <v/>
      </c>
      <c r="I88" s="127">
        <f ca="1">ORÇAMENTO!X88</f>
        <v>8049.5</v>
      </c>
      <c r="J88" s="378">
        <f ca="1">IF($A88="S",IF(CAIXA.Modo,BM.AFAnterior,BM.MEDAnterior),IF(AND(RegimeExecucao="Global",$I88&gt;0,COUNTIF($AB$13:$AM$13,BM.medicao-1)&gt;0),M88/$I88*100,0))</f>
        <v>0</v>
      </c>
      <c r="K88" s="124">
        <f t="shared" ca="1" si="3"/>
        <v>0</v>
      </c>
      <c r="L88" s="379">
        <f ca="1">IF($A88="S",IF(CAIXA.Modo,BM.AFAcumulado,BM.MEDAcumulado),IF(AND(RegimeExecucao="Global",$I88&gt;0,COUNTIF($AB$13:$AM$13,BM.medicao)&gt;0),O88/$I88*100,0))</f>
        <v>0</v>
      </c>
      <c r="M88" s="380">
        <f ca="1">IF($A88="S",VTOTALBM,IF($A88=0,0,ROUND(SomaAgrupBM,15-13*ORÇAMENTO!$AF$11)))</f>
        <v>0</v>
      </c>
      <c r="N88" s="381">
        <f t="shared" ca="1" si="4"/>
        <v>0</v>
      </c>
      <c r="O88" s="127">
        <f ca="1">IF($A88="S",VTOTALBM,IF($A88=0,0,ROUND(SomaAgrupBM,15-13*ORÇAMENTO!$AF$11)))</f>
        <v>0</v>
      </c>
      <c r="Q88" s="382"/>
      <c r="R88" s="383"/>
      <c r="T88" s="119" t="str">
        <f t="shared" ca="1" si="5"/>
        <v/>
      </c>
      <c r="U88" s="172" t="str">
        <f t="shared" ca="1" si="6"/>
        <v/>
      </c>
      <c r="V88" s="173" t="str">
        <f ca="1">IF(AND($W88&gt;0,RegimeExecucao="Unitário"),$F88,"")</f>
        <v/>
      </c>
      <c r="W88" s="547">
        <f ca="1">IF($Y88&gt;0,CHOOSE(MATCH(RegimeExecucao,{"Unitário","Global"},0),IF($A88="S",$Y88/$X88,""),($Y88/$X88)*100),0)</f>
        <v>0</v>
      </c>
      <c r="X88" s="384" t="str">
        <f ca="1">IF($Y88&gt;0,CHOOSE(MATCH(RegimeExecucao,{"Unitário","Global"},0),IF($A88="S",ROUND($H88,ORÇAMENTO!$AF$10),""),ROUND($I88,ORÇAMENTO!$AF$11)),"")</f>
        <v/>
      </c>
      <c r="Y88" s="384">
        <f t="shared" ca="1" si="7"/>
        <v>0</v>
      </c>
      <c r="Z88" s="572"/>
      <c r="AB88" s="382"/>
      <c r="AC88" s="516"/>
      <c r="AD88" s="516"/>
      <c r="AE88" s="516"/>
      <c r="AF88" s="516"/>
      <c r="AG88" s="516"/>
      <c r="AH88" s="516"/>
      <c r="AI88" s="516"/>
      <c r="AJ88" s="516"/>
      <c r="AK88" s="516"/>
      <c r="AL88" s="516"/>
      <c r="AM88" s="383"/>
      <c r="AO88">
        <f ca="1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spans="1:41" ht="25.5" x14ac:dyDescent="0.2">
      <c r="A89" t="str">
        <f ca="1">ORÇAMENTO!C89</f>
        <v>S</v>
      </c>
      <c r="B89">
        <f ca="1">ORÇAMENTO!D89</f>
        <v>0</v>
      </c>
      <c r="C89" s="116" t="str">
        <f t="shared" ca="1" si="1"/>
        <v>F</v>
      </c>
      <c r="D89" s="119" t="str">
        <f ca="1">ORÇAMENTO!O89</f>
        <v>3.1.1.</v>
      </c>
      <c r="E89" s="172" t="str">
        <f t="shared" ca="1" si="2"/>
        <v>Placa em aço - 3,00 x 1,50 m - película retrorrefletiva tipo I + I - fornecimento e implantação</v>
      </c>
      <c r="F89" s="173" t="str">
        <f ca="1">IF(RegimeExecucao="Global","",ORÇAMENTO.Unidade)</f>
        <v/>
      </c>
      <c r="G89" s="124" t="str">
        <f ca="1">IF(RegimeExecucao="Global","",ORÇAMENTO!T89)</f>
        <v/>
      </c>
      <c r="H89" s="124" t="str">
        <f ca="1">IF(RegimeExecucao="Global","",ORÇAMENTO!W89)</f>
        <v/>
      </c>
      <c r="I89" s="127">
        <f ca="1">ORÇAMENTO!X89</f>
        <v>2342.1999999999998</v>
      </c>
      <c r="J89" s="378">
        <f ca="1">IF($A89="S",IF(CAIXA.Modo,BM.AFAnterior,BM.MEDAnterior),IF(AND(RegimeExecucao="Global",$I89&gt;0,COUNTIF($AB$13:$AM$13,BM.medicao-1)&gt;0),M89/$I89*100,0))</f>
        <v>0</v>
      </c>
      <c r="K89" s="124">
        <f t="shared" ca="1" si="3"/>
        <v>0</v>
      </c>
      <c r="L89" s="379">
        <f ca="1">IF($A89="S",IF(CAIXA.Modo,BM.AFAcumulado,BM.MEDAcumulado),IF(AND(RegimeExecucao="Global",$I89&gt;0,COUNTIF($AB$13:$AM$13,BM.medicao)&gt;0),O89/$I89*100,0))</f>
        <v>0</v>
      </c>
      <c r="M89" s="380">
        <f ca="1">IF($A89="S",VTOTALBM,IF($A89=0,0,ROUND(SomaAgrupBM,15-13*ORÇAMENTO!$AF$11)))</f>
        <v>0</v>
      </c>
      <c r="N89" s="381">
        <f t="shared" ca="1" si="4"/>
        <v>0</v>
      </c>
      <c r="O89" s="127">
        <f ca="1">IF($A89="S",VTOTALBM,IF($A89=0,0,ROUND(SomaAgrupBM,15-13*ORÇAMENTO!$AF$11)))</f>
        <v>0</v>
      </c>
      <c r="Q89" s="382"/>
      <c r="R89" s="383"/>
      <c r="T89" s="119" t="str">
        <f t="shared" ca="1" si="5"/>
        <v/>
      </c>
      <c r="U89" s="172" t="str">
        <f t="shared" ca="1" si="6"/>
        <v/>
      </c>
      <c r="V89" s="173" t="str">
        <f ca="1">IF(AND($W89&gt;0,RegimeExecucao="Unitário"),$F89,"")</f>
        <v/>
      </c>
      <c r="W89" s="547">
        <f ca="1">IF($Y89&gt;0,CHOOSE(MATCH(RegimeExecucao,{"Unitário","Global"},0),IF($A89="S",$Y89/$X89,""),($Y89/$X89)*100),0)</f>
        <v>0</v>
      </c>
      <c r="X89" s="384" t="str">
        <f ca="1">IF($Y89&gt;0,CHOOSE(MATCH(RegimeExecucao,{"Unitário","Global"},0),IF($A89="S",ROUND($H89,ORÇAMENTO!$AF$10),""),ROUND($I89,ORÇAMENTO!$AF$11)),"")</f>
        <v/>
      </c>
      <c r="Y89" s="384">
        <f t="shared" ca="1" si="7"/>
        <v>0</v>
      </c>
      <c r="Z89" s="572"/>
      <c r="AB89" s="382"/>
      <c r="AC89" s="516"/>
      <c r="AD89" s="516"/>
      <c r="AE89" s="516"/>
      <c r="AF89" s="516"/>
      <c r="AG89" s="516"/>
      <c r="AH89" s="516"/>
      <c r="AI89" s="516"/>
      <c r="AJ89" s="516"/>
      <c r="AK89" s="516"/>
      <c r="AL89" s="516"/>
      <c r="AM89" s="383"/>
      <c r="AO89">
        <f ca="1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spans="1:41" s="577" customFormat="1" ht="25.5" x14ac:dyDescent="0.2">
      <c r="A90" s="577" t="str">
        <f ca="1">ORÇAMENTO!C90</f>
        <v>S</v>
      </c>
      <c r="B90" s="577">
        <f ca="1">ORÇAMENTO!D90</f>
        <v>0</v>
      </c>
      <c r="C90" s="116" t="str">
        <f ca="1">IF(OR($I90&gt;0,$A90=1,$A90=2,$A90=3,$A90=4),"F","")</f>
        <v>F</v>
      </c>
      <c r="D90" s="119" t="str">
        <f ca="1">ORÇAMENTO!O90</f>
        <v>3.1.2.</v>
      </c>
      <c r="E90" s="172" t="str">
        <f ca="1">ORÇAMENTO.Descricao</f>
        <v>Suporte para placa de sinalização em madeira de lei tratada 8 x 8 cm - fornecimento e implantação</v>
      </c>
      <c r="F90" s="173" t="str">
        <f ca="1">IF(RegimeExecucao="Global","",ORÇAMENTO.Unidade)</f>
        <v/>
      </c>
      <c r="G90" s="124" t="str">
        <f ca="1">IF(RegimeExecucao="Global","",ORÇAMENTO!T90)</f>
        <v/>
      </c>
      <c r="H90" s="124" t="str">
        <f ca="1">IF(RegimeExecucao="Global","",ORÇAMENTO!W90)</f>
        <v/>
      </c>
      <c r="I90" s="127">
        <f ca="1">ORÇAMENTO!X90</f>
        <v>167.78</v>
      </c>
      <c r="J90" s="378">
        <f ca="1">IF($A90="S",IF(CAIXA.Modo,BM.AFAnterior,BM.MEDAnterior),IF(AND(RegimeExecucao="Global",$I90&gt;0,COUNTIF($AB$13:$AM$13,BM.medicao-1)&gt;0),M90/$I90*100,0))</f>
        <v>0</v>
      </c>
      <c r="K90" s="124">
        <f ca="1">L90-J90</f>
        <v>0</v>
      </c>
      <c r="L90" s="379">
        <f ca="1">IF($A90="S",IF(CAIXA.Modo,BM.AFAcumulado,BM.MEDAcumulado),IF(AND(RegimeExecucao="Global",$I90&gt;0,COUNTIF($AB$13:$AM$13,BM.medicao)&gt;0),O90/$I90*100,0))</f>
        <v>0</v>
      </c>
      <c r="M90" s="380">
        <f ca="1">IF($A90="S",VTOTALBM,IF($A90=0,0,ROUND(SomaAgrupBM,15-13*ORÇAMENTO!$AF$11)))</f>
        <v>0</v>
      </c>
      <c r="N90" s="381">
        <f ca="1">O90-M90</f>
        <v>0</v>
      </c>
      <c r="O90" s="127">
        <f ca="1">IF($A90="S",VTOTALBM,IF($A90=0,0,ROUND(SomaAgrupBM,15-13*ORÇAMENTO!$AF$11)))</f>
        <v>0</v>
      </c>
      <c r="Q90" s="382"/>
      <c r="R90" s="383"/>
      <c r="T90" s="119" t="str">
        <f ca="1">IF($W90&gt;0,$D90,"")</f>
        <v/>
      </c>
      <c r="U90" s="172" t="str">
        <f ca="1">IF($W90&gt;0,$E90,"")</f>
        <v/>
      </c>
      <c r="V90" s="173" t="str">
        <f ca="1">IF(AND($W90&gt;0,RegimeExecucao="Unitário"),$F90,"")</f>
        <v/>
      </c>
      <c r="W90" s="547">
        <f ca="1">IF($Y90&gt;0,CHOOSE(MATCH(RegimeExecucao,{"Unitário","Global"},0),IF($A90="S",$Y90/$X90,""),($Y90/$X90)*100),0)</f>
        <v>0</v>
      </c>
      <c r="X90" s="384" t="str">
        <f ca="1">IF($Y90&gt;0,CHOOSE(MATCH(RegimeExecucao,{"Unitário","Global"},0),IF($A90="S",ROUND($H90,ORÇAMENTO!$AF$10),""),ROUND($I90,ORÇAMENTO!$AF$11)),"")</f>
        <v/>
      </c>
      <c r="Y90" s="384">
        <f ca="1">AO90-O90</f>
        <v>0</v>
      </c>
      <c r="Z90" s="572"/>
      <c r="AB90" s="382"/>
      <c r="AC90" s="516"/>
      <c r="AD90" s="516"/>
      <c r="AE90" s="516"/>
      <c r="AF90" s="516"/>
      <c r="AG90" s="516"/>
      <c r="AH90" s="516"/>
      <c r="AI90" s="516"/>
      <c r="AJ90" s="516"/>
      <c r="AK90" s="516"/>
      <c r="AL90" s="516"/>
      <c r="AM90" s="383"/>
      <c r="AO90" s="577">
        <f ca="1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spans="1:41" s="577" customFormat="1" x14ac:dyDescent="0.2">
      <c r="A91" s="577" t="str">
        <f ca="1">ORÇAMENTO!C91</f>
        <v>S</v>
      </c>
      <c r="B91" s="577">
        <f ca="1">ORÇAMENTO!D91</f>
        <v>0</v>
      </c>
      <c r="C91" s="116" t="str">
        <f ca="1">IF(OR($I91&gt;0,$A91=1,$A91=2,$A91=3,$A91=4),"F","")</f>
        <v>F</v>
      </c>
      <c r="D91" s="119" t="str">
        <f ca="1">ORÇAMENTO!O91</f>
        <v>3.1.3.</v>
      </c>
      <c r="E91" s="172" t="str">
        <f ca="1">ORÇAMENTO.Descricao</f>
        <v xml:space="preserve">MOBILIZAÇÃO E DESMOBILIZAÇÃO </v>
      </c>
      <c r="F91" s="173" t="str">
        <f ca="1">IF(RegimeExecucao="Global","",ORÇAMENTO.Unidade)</f>
        <v/>
      </c>
      <c r="G91" s="124" t="str">
        <f ca="1">IF(RegimeExecucao="Global","",ORÇAMENTO!T91)</f>
        <v/>
      </c>
      <c r="H91" s="124" t="str">
        <f ca="1">IF(RegimeExecucao="Global","",ORÇAMENTO!W91)</f>
        <v/>
      </c>
      <c r="I91" s="127">
        <f ca="1">ORÇAMENTO!X91</f>
        <v>5539.52</v>
      </c>
      <c r="J91" s="378">
        <f ca="1">IF($A91="S",IF(CAIXA.Modo,BM.AFAnterior,BM.MEDAnterior),IF(AND(RegimeExecucao="Global",$I91&gt;0,COUNTIF($AB$13:$AM$13,BM.medicao-1)&gt;0),M91/$I91*100,0))</f>
        <v>0</v>
      </c>
      <c r="K91" s="124">
        <f ca="1">L91-J91</f>
        <v>0</v>
      </c>
      <c r="L91" s="379">
        <f ca="1">IF($A91="S",IF(CAIXA.Modo,BM.AFAcumulado,BM.MEDAcumulado),IF(AND(RegimeExecucao="Global",$I91&gt;0,COUNTIF($AB$13:$AM$13,BM.medicao)&gt;0),O91/$I91*100,0))</f>
        <v>0</v>
      </c>
      <c r="M91" s="380">
        <f ca="1">IF($A91="S",VTOTALBM,IF($A91=0,0,ROUND(SomaAgrupBM,15-13*ORÇAMENTO!$AF$11)))</f>
        <v>0</v>
      </c>
      <c r="N91" s="381">
        <f ca="1">O91-M91</f>
        <v>0</v>
      </c>
      <c r="O91" s="127">
        <f ca="1">IF($A91="S",VTOTALBM,IF($A91=0,0,ROUND(SomaAgrupBM,15-13*ORÇAMENTO!$AF$11)))</f>
        <v>0</v>
      </c>
      <c r="Q91" s="382"/>
      <c r="R91" s="383"/>
      <c r="T91" s="119" t="str">
        <f ca="1">IF($W91&gt;0,$D91,"")</f>
        <v/>
      </c>
      <c r="U91" s="172" t="str">
        <f ca="1">IF($W91&gt;0,$E91,"")</f>
        <v/>
      </c>
      <c r="V91" s="173" t="str">
        <f ca="1">IF(AND($W91&gt;0,RegimeExecucao="Unitário"),$F91,"")</f>
        <v/>
      </c>
      <c r="W91" s="547">
        <f ca="1">IF($Y91&gt;0,CHOOSE(MATCH(RegimeExecucao,{"Unitário","Global"},0),IF($A91="S",$Y91/$X91,""),($Y91/$X91)*100),0)</f>
        <v>0</v>
      </c>
      <c r="X91" s="384" t="str">
        <f ca="1">IF($Y91&gt;0,CHOOSE(MATCH(RegimeExecucao,{"Unitário","Global"},0),IF($A91="S",ROUND($H91,ORÇAMENTO!$AF$10),""),ROUND($I91,ORÇAMENTO!$AF$11)),"")</f>
        <v/>
      </c>
      <c r="Y91" s="384">
        <f ca="1">AO91-O91</f>
        <v>0</v>
      </c>
      <c r="Z91" s="572"/>
      <c r="AB91" s="382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383"/>
      <c r="AO91" s="577">
        <f ca="1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spans="1:41" x14ac:dyDescent="0.2">
      <c r="A92">
        <f ca="1">ORÇAMENTO!C92</f>
        <v>2</v>
      </c>
      <c r="B92">
        <f ca="1">ORÇAMENTO!D92</f>
        <v>4</v>
      </c>
      <c r="C92" s="116" t="str">
        <f t="shared" ca="1" si="1"/>
        <v>F</v>
      </c>
      <c r="D92" s="119" t="str">
        <f ca="1">ORÇAMENTO!O92</f>
        <v>3.2.</v>
      </c>
      <c r="E92" s="172" t="str">
        <f t="shared" si="2"/>
        <v>ADMINISTRAÇÃO LOCAL</v>
      </c>
      <c r="F92" s="173" t="str">
        <f ca="1">IF(RegimeExecucao="Global","",ORÇAMENTO.Unidade)</f>
        <v/>
      </c>
      <c r="G92" s="124" t="str">
        <f ca="1">IF(RegimeExecucao="Global","",ORÇAMENTO!T92)</f>
        <v/>
      </c>
      <c r="H92" s="124" t="str">
        <f ca="1">IF(RegimeExecucao="Global","",ORÇAMENTO!W92)</f>
        <v/>
      </c>
      <c r="I92" s="127">
        <f ca="1">ORÇAMENTO!X92</f>
        <v>7454.1</v>
      </c>
      <c r="J92" s="378">
        <f ca="1">IF($A92="S",IF(CAIXA.Modo,BM.AFAnterior,BM.MEDAnterior),IF(AND(RegimeExecucao="Global",$I92&gt;0,COUNTIF($AB$13:$AM$13,BM.medicao-1)&gt;0),M92/$I92*100,0))</f>
        <v>0</v>
      </c>
      <c r="K92" s="124">
        <f t="shared" ca="1" si="3"/>
        <v>0</v>
      </c>
      <c r="L92" s="379">
        <f ca="1">IF($A92="S",IF(CAIXA.Modo,BM.AFAcumulado,BM.MEDAcumulado),IF(AND(RegimeExecucao="Global",$I92&gt;0,COUNTIF($AB$13:$AM$13,BM.medicao)&gt;0),O92/$I92*100,0))</f>
        <v>0</v>
      </c>
      <c r="M92" s="380">
        <f ca="1">IF($A92="S",VTOTALBM,IF($A92=0,0,ROUND(SomaAgrupBM,15-13*ORÇAMENTO!$AF$11)))</f>
        <v>0</v>
      </c>
      <c r="N92" s="381">
        <f t="shared" ca="1" si="4"/>
        <v>0</v>
      </c>
      <c r="O92" s="127">
        <f ca="1">IF($A92="S",VTOTALBM,IF($A92=0,0,ROUND(SomaAgrupBM,15-13*ORÇAMENTO!$AF$11)))</f>
        <v>0</v>
      </c>
      <c r="Q92" s="382"/>
      <c r="R92" s="383"/>
      <c r="T92" s="119" t="str">
        <f t="shared" ca="1" si="5"/>
        <v/>
      </c>
      <c r="U92" s="172" t="str">
        <f t="shared" ca="1" si="6"/>
        <v/>
      </c>
      <c r="V92" s="173" t="str">
        <f ca="1">IF(AND($W92&gt;0,RegimeExecucao="Unitário"),$F92,"")</f>
        <v/>
      </c>
      <c r="W92" s="547">
        <f ca="1">IF($Y92&gt;0,CHOOSE(MATCH(RegimeExecucao,{"Unitário","Global"},0),IF($A92="S",$Y92/$X92,""),($Y92/$X92)*100),0)</f>
        <v>0</v>
      </c>
      <c r="X92" s="384" t="str">
        <f ca="1">IF($Y92&gt;0,CHOOSE(MATCH(RegimeExecucao,{"Unitário","Global"},0),IF($A92="S",ROUND($H92,ORÇAMENTO!$AF$10),""),ROUND($I92,ORÇAMENTO!$AF$11)),"")</f>
        <v/>
      </c>
      <c r="Y92" s="384">
        <f t="shared" ca="1" si="7"/>
        <v>0</v>
      </c>
      <c r="Z92" s="572"/>
      <c r="AB92" s="382"/>
      <c r="AC92" s="516"/>
      <c r="AD92" s="516"/>
      <c r="AE92" s="516"/>
      <c r="AF92" s="516"/>
      <c r="AG92" s="516"/>
      <c r="AH92" s="516"/>
      <c r="AI92" s="516"/>
      <c r="AJ92" s="516"/>
      <c r="AK92" s="516"/>
      <c r="AL92" s="516"/>
      <c r="AM92" s="383"/>
      <c r="AO92">
        <f ca="1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spans="1:41" x14ac:dyDescent="0.2">
      <c r="A93" t="str">
        <f ca="1">ORÇAMENTO!C93</f>
        <v>S</v>
      </c>
      <c r="B93">
        <f ca="1">ORÇAMENTO!D93</f>
        <v>0</v>
      </c>
      <c r="C93" s="116" t="str">
        <f t="shared" ca="1" si="1"/>
        <v>F</v>
      </c>
      <c r="D93" s="119" t="str">
        <f ca="1">ORÇAMENTO!O93</f>
        <v>3.2.1.</v>
      </c>
      <c r="E93" s="172" t="str">
        <f t="shared" ca="1" si="2"/>
        <v>Engenheiro</v>
      </c>
      <c r="F93" s="173" t="str">
        <f ca="1">IF(RegimeExecucao="Global","",ORÇAMENTO.Unidade)</f>
        <v/>
      </c>
      <c r="G93" s="124" t="str">
        <f ca="1">IF(RegimeExecucao="Global","",ORÇAMENTO!T93)</f>
        <v/>
      </c>
      <c r="H93" s="124" t="str">
        <f ca="1">IF(RegimeExecucao="Global","",ORÇAMENTO!W93)</f>
        <v/>
      </c>
      <c r="I93" s="127">
        <f ca="1">ORÇAMENTO!X93</f>
        <v>2981.1</v>
      </c>
      <c r="J93" s="378">
        <f ca="1">IF($A93="S",IF(CAIXA.Modo,BM.AFAnterior,BM.MEDAnterior),IF(AND(RegimeExecucao="Global",$I93&gt;0,COUNTIF($AB$13:$AM$13,BM.medicao-1)&gt;0),M93/$I93*100,0))</f>
        <v>0</v>
      </c>
      <c r="K93" s="124">
        <f t="shared" ca="1" si="3"/>
        <v>0</v>
      </c>
      <c r="L93" s="379">
        <f ca="1">IF($A93="S",IF(CAIXA.Modo,BM.AFAcumulado,BM.MEDAcumulado),IF(AND(RegimeExecucao="Global",$I93&gt;0,COUNTIF($AB$13:$AM$13,BM.medicao)&gt;0),O93/$I93*100,0))</f>
        <v>0</v>
      </c>
      <c r="M93" s="380">
        <f ca="1">IF($A93="S",VTOTALBM,IF($A93=0,0,ROUND(SomaAgrupBM,15-13*ORÇAMENTO!$AF$11)))</f>
        <v>0</v>
      </c>
      <c r="N93" s="381">
        <f t="shared" ca="1" si="4"/>
        <v>0</v>
      </c>
      <c r="O93" s="127">
        <f ca="1">IF($A93="S",VTOTALBM,IF($A93=0,0,ROUND(SomaAgrupBM,15-13*ORÇAMENTO!$AF$11)))</f>
        <v>0</v>
      </c>
      <c r="Q93" s="382"/>
      <c r="R93" s="383"/>
      <c r="T93" s="119" t="str">
        <f t="shared" ca="1" si="5"/>
        <v/>
      </c>
      <c r="U93" s="172" t="str">
        <f t="shared" ca="1" si="6"/>
        <v/>
      </c>
      <c r="V93" s="173" t="str">
        <f ca="1">IF(AND($W93&gt;0,RegimeExecucao="Unitário"),$F93,"")</f>
        <v/>
      </c>
      <c r="W93" s="547">
        <f ca="1">IF($Y93&gt;0,CHOOSE(MATCH(RegimeExecucao,{"Unitário","Global"},0),IF($A93="S",$Y93/$X93,""),($Y93/$X93)*100),0)</f>
        <v>0</v>
      </c>
      <c r="X93" s="384" t="str">
        <f ca="1">IF($Y93&gt;0,CHOOSE(MATCH(RegimeExecucao,{"Unitário","Global"},0),IF($A93="S",ROUND($H93,ORÇAMENTO!$AF$10),""),ROUND($I93,ORÇAMENTO!$AF$11)),"")</f>
        <v/>
      </c>
      <c r="Y93" s="384">
        <f t="shared" ca="1" si="7"/>
        <v>0</v>
      </c>
      <c r="Z93" s="572"/>
      <c r="AB93" s="382"/>
      <c r="AC93" s="516"/>
      <c r="AD93" s="516"/>
      <c r="AE93" s="516"/>
      <c r="AF93" s="516"/>
      <c r="AG93" s="516"/>
      <c r="AH93" s="516"/>
      <c r="AI93" s="516"/>
      <c r="AJ93" s="516"/>
      <c r="AK93" s="516"/>
      <c r="AL93" s="516"/>
      <c r="AM93" s="383"/>
      <c r="AO93">
        <f ca="1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spans="1:41" s="577" customFormat="1" x14ac:dyDescent="0.2">
      <c r="A94" s="577" t="str">
        <f ca="1">ORÇAMENTO!C94</f>
        <v>S</v>
      </c>
      <c r="B94" s="577">
        <f ca="1">ORÇAMENTO!D94</f>
        <v>0</v>
      </c>
      <c r="C94" s="116" t="str">
        <f t="shared" ca="1" si="1"/>
        <v>F</v>
      </c>
      <c r="D94" s="119" t="str">
        <f ca="1">ORÇAMENTO!O94</f>
        <v>3.2.2.</v>
      </c>
      <c r="E94" s="172" t="str">
        <f t="shared" ca="1" si="2"/>
        <v>Encarregado de pavimentação</v>
      </c>
      <c r="F94" s="173" t="str">
        <f ca="1">IF(RegimeExecucao="Global","",ORÇAMENTO.Unidade)</f>
        <v/>
      </c>
      <c r="G94" s="124" t="str">
        <f ca="1">IF(RegimeExecucao="Global","",ORÇAMENTO!T94)</f>
        <v/>
      </c>
      <c r="H94" s="124" t="str">
        <f ca="1">IF(RegimeExecucao="Global","",ORÇAMENTO!W94)</f>
        <v/>
      </c>
      <c r="I94" s="127">
        <f ca="1">ORÇAMENTO!X94</f>
        <v>3432.6</v>
      </c>
      <c r="J94" s="378">
        <f ca="1">IF($A94="S",IF(CAIXA.Modo,BM.AFAnterior,BM.MEDAnterior),IF(AND(RegimeExecucao="Global",$I94&gt;0,COUNTIF($AB$13:$AM$13,BM.medicao-1)&gt;0),M94/$I94*100,0))</f>
        <v>0</v>
      </c>
      <c r="K94" s="124">
        <f t="shared" ca="1" si="3"/>
        <v>0</v>
      </c>
      <c r="L94" s="379">
        <f ca="1">IF($A94="S",IF(CAIXA.Modo,BM.AFAcumulado,BM.MEDAcumulado),IF(AND(RegimeExecucao="Global",$I94&gt;0,COUNTIF($AB$13:$AM$13,BM.medicao)&gt;0),O94/$I94*100,0))</f>
        <v>0</v>
      </c>
      <c r="M94" s="380">
        <f ca="1">IF($A94="S",VTOTALBM,IF($A94=0,0,ROUND(SomaAgrupBM,15-13*ORÇAMENTO!$AF$11)))</f>
        <v>0</v>
      </c>
      <c r="N94" s="381">
        <f t="shared" ca="1" si="4"/>
        <v>0</v>
      </c>
      <c r="O94" s="127">
        <f ca="1">IF($A94="S",VTOTALBM,IF($A94=0,0,ROUND(SomaAgrupBM,15-13*ORÇAMENTO!$AF$11)))</f>
        <v>0</v>
      </c>
      <c r="Q94" s="382"/>
      <c r="R94" s="383"/>
      <c r="T94" s="119" t="str">
        <f t="shared" ca="1" si="5"/>
        <v/>
      </c>
      <c r="U94" s="172" t="str">
        <f t="shared" ca="1" si="6"/>
        <v/>
      </c>
      <c r="V94" s="173" t="str">
        <f ca="1">IF(AND($W94&gt;0,RegimeExecucao="Unitário"),$F94,"")</f>
        <v/>
      </c>
      <c r="W94" s="547">
        <f ca="1">IF($Y94&gt;0,CHOOSE(MATCH(RegimeExecucao,{"Unitário","Global"},0),IF($A94="S",$Y94/$X94,""),($Y94/$X94)*100),0)</f>
        <v>0</v>
      </c>
      <c r="X94" s="384" t="str">
        <f ca="1">IF($Y94&gt;0,CHOOSE(MATCH(RegimeExecucao,{"Unitário","Global"},0),IF($A94="S",ROUND($H94,ORÇAMENTO!$AF$10),""),ROUND($I94,ORÇAMENTO!$AF$11)),"")</f>
        <v/>
      </c>
      <c r="Y94" s="384">
        <f t="shared" ca="1" si="7"/>
        <v>0</v>
      </c>
      <c r="Z94" s="572"/>
      <c r="AB94" s="382"/>
      <c r="AC94" s="516"/>
      <c r="AD94" s="516"/>
      <c r="AE94" s="516"/>
      <c r="AF94" s="516"/>
      <c r="AG94" s="516"/>
      <c r="AH94" s="516"/>
      <c r="AI94" s="516"/>
      <c r="AJ94" s="516"/>
      <c r="AK94" s="516"/>
      <c r="AL94" s="516"/>
      <c r="AM94" s="383"/>
      <c r="AO94" s="577">
        <f ca="1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spans="1:41" x14ac:dyDescent="0.2">
      <c r="A95" t="str">
        <f ca="1">ORÇAMENTO!C95</f>
        <v>S</v>
      </c>
      <c r="B95">
        <f ca="1">ORÇAMENTO!D95</f>
        <v>0</v>
      </c>
      <c r="C95" s="116" t="str">
        <f t="shared" ca="1" si="1"/>
        <v>F</v>
      </c>
      <c r="D95" s="119" t="str">
        <f ca="1">ORÇAMENTO!O95</f>
        <v>3.2.3.</v>
      </c>
      <c r="E95" s="172" t="str">
        <f t="shared" ca="1" si="2"/>
        <v>Auxiliar de topografia</v>
      </c>
      <c r="F95" s="173" t="str">
        <f ca="1">IF(RegimeExecucao="Global","",ORÇAMENTO.Unidade)</f>
        <v/>
      </c>
      <c r="G95" s="124" t="str">
        <f ca="1">IF(RegimeExecucao="Global","",ORÇAMENTO!T95)</f>
        <v/>
      </c>
      <c r="H95" s="124" t="str">
        <f ca="1">IF(RegimeExecucao="Global","",ORÇAMENTO!W95)</f>
        <v/>
      </c>
      <c r="I95" s="127">
        <f ca="1">ORÇAMENTO!X95</f>
        <v>1040.4000000000001</v>
      </c>
      <c r="J95" s="378">
        <f ca="1">IF($A95="S",IF(CAIXA.Modo,BM.AFAnterior,BM.MEDAnterior),IF(AND(RegimeExecucao="Global",$I95&gt;0,COUNTIF($AB$13:$AM$13,BM.medicao-1)&gt;0),M95/$I95*100,0))</f>
        <v>0</v>
      </c>
      <c r="K95" s="124">
        <f t="shared" ca="1" si="3"/>
        <v>0</v>
      </c>
      <c r="L95" s="379">
        <f ca="1">IF($A95="S",IF(CAIXA.Modo,BM.AFAcumulado,BM.MEDAcumulado),IF(AND(RegimeExecucao="Global",$I95&gt;0,COUNTIF($AB$13:$AM$13,BM.medicao)&gt;0),O95/$I95*100,0))</f>
        <v>0</v>
      </c>
      <c r="M95" s="380">
        <f ca="1">IF($A95="S",VTOTALBM,IF($A95=0,0,ROUND(SomaAgrupBM,15-13*ORÇAMENTO!$AF$11)))</f>
        <v>0</v>
      </c>
      <c r="N95" s="381">
        <f t="shared" ca="1" si="4"/>
        <v>0</v>
      </c>
      <c r="O95" s="127">
        <f ca="1">IF($A95="S",VTOTALBM,IF($A95=0,0,ROUND(SomaAgrupBM,15-13*ORÇAMENTO!$AF$11)))</f>
        <v>0</v>
      </c>
      <c r="Q95" s="382"/>
      <c r="R95" s="383"/>
      <c r="T95" s="119" t="str">
        <f t="shared" ca="1" si="5"/>
        <v/>
      </c>
      <c r="U95" s="172" t="str">
        <f t="shared" ca="1" si="6"/>
        <v/>
      </c>
      <c r="V95" s="173" t="str">
        <f ca="1">IF(AND($W95&gt;0,RegimeExecucao="Unitário"),$F95,"")</f>
        <v/>
      </c>
      <c r="W95" s="547">
        <f ca="1">IF($Y95&gt;0,CHOOSE(MATCH(RegimeExecucao,{"Unitário","Global"},0),IF($A95="S",$Y95/$X95,""),($Y95/$X95)*100),0)</f>
        <v>0</v>
      </c>
      <c r="X95" s="384" t="str">
        <f ca="1">IF($Y95&gt;0,CHOOSE(MATCH(RegimeExecucao,{"Unitário","Global"},0),IF($A95="S",ROUND($H95,ORÇAMENTO!$AF$10),""),ROUND($I95,ORÇAMENTO!$AF$11)),"")</f>
        <v/>
      </c>
      <c r="Y95" s="384">
        <f t="shared" ca="1" si="7"/>
        <v>0</v>
      </c>
      <c r="Z95" s="572"/>
      <c r="AB95" s="382"/>
      <c r="AC95" s="516"/>
      <c r="AD95" s="516"/>
      <c r="AE95" s="516"/>
      <c r="AF95" s="516"/>
      <c r="AG95" s="516"/>
      <c r="AH95" s="516"/>
      <c r="AI95" s="516"/>
      <c r="AJ95" s="516"/>
      <c r="AK95" s="516"/>
      <c r="AL95" s="516"/>
      <c r="AM95" s="383"/>
      <c r="AO95">
        <f ca="1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spans="1:41" x14ac:dyDescent="0.2">
      <c r="A96">
        <f ca="1">ORÇAMENTO!C96</f>
        <v>2</v>
      </c>
      <c r="B96">
        <f ca="1">ORÇAMENTO!D96</f>
        <v>8</v>
      </c>
      <c r="C96" s="116" t="str">
        <f t="shared" ca="1" si="1"/>
        <v>F</v>
      </c>
      <c r="D96" s="119" t="str">
        <f ca="1">ORÇAMENTO!O96</f>
        <v>3.3.</v>
      </c>
      <c r="E96" s="172" t="str">
        <f t="shared" si="2"/>
        <v>DRENAGEM PLUVIAL</v>
      </c>
      <c r="F96" s="173" t="str">
        <f ca="1">IF(RegimeExecucao="Global","",ORÇAMENTO.Unidade)</f>
        <v/>
      </c>
      <c r="G96" s="124" t="str">
        <f ca="1">IF(RegimeExecucao="Global","",ORÇAMENTO!T96)</f>
        <v/>
      </c>
      <c r="H96" s="124" t="str">
        <f ca="1">IF(RegimeExecucao="Global","",ORÇAMENTO!W96)</f>
        <v/>
      </c>
      <c r="I96" s="127">
        <f ca="1">ORÇAMENTO!X96</f>
        <v>80780.36</v>
      </c>
      <c r="J96" s="378">
        <f ca="1">IF($A96="S",IF(CAIXA.Modo,BM.AFAnterior,BM.MEDAnterior),IF(AND(RegimeExecucao="Global",$I96&gt;0,COUNTIF($AB$13:$AM$13,BM.medicao-1)&gt;0),M96/$I96*100,0))</f>
        <v>0</v>
      </c>
      <c r="K96" s="124">
        <f t="shared" ca="1" si="3"/>
        <v>0</v>
      </c>
      <c r="L96" s="379">
        <f ca="1">IF($A96="S",IF(CAIXA.Modo,BM.AFAcumulado,BM.MEDAcumulado),IF(AND(RegimeExecucao="Global",$I96&gt;0,COUNTIF($AB$13:$AM$13,BM.medicao)&gt;0),O96/$I96*100,0))</f>
        <v>0</v>
      </c>
      <c r="M96" s="380">
        <f ca="1">IF($A96="S",VTOTALBM,IF($A96=0,0,ROUND(SomaAgrupBM,15-13*ORÇAMENTO!$AF$11)))</f>
        <v>0</v>
      </c>
      <c r="N96" s="381">
        <f t="shared" ca="1" si="4"/>
        <v>0</v>
      </c>
      <c r="O96" s="127">
        <f ca="1">IF($A96="S",VTOTALBM,IF($A96=0,0,ROUND(SomaAgrupBM,15-13*ORÇAMENTO!$AF$11)))</f>
        <v>0</v>
      </c>
      <c r="Q96" s="382"/>
      <c r="R96" s="383"/>
      <c r="T96" s="119" t="str">
        <f t="shared" ca="1" si="5"/>
        <v/>
      </c>
      <c r="U96" s="172" t="str">
        <f t="shared" ca="1" si="6"/>
        <v/>
      </c>
      <c r="V96" s="173" t="str">
        <f ca="1">IF(AND($W96&gt;0,RegimeExecucao="Unitário"),$F96,"")</f>
        <v/>
      </c>
      <c r="W96" s="547">
        <f ca="1">IF($Y96&gt;0,CHOOSE(MATCH(RegimeExecucao,{"Unitário","Global"},0),IF($A96="S",$Y96/$X96,""),($Y96/$X96)*100),0)</f>
        <v>0</v>
      </c>
      <c r="X96" s="384" t="str">
        <f ca="1">IF($Y96&gt;0,CHOOSE(MATCH(RegimeExecucao,{"Unitário","Global"},0),IF($A96="S",ROUND($H96,ORÇAMENTO!$AF$10),""),ROUND($I96,ORÇAMENTO!$AF$11)),"")</f>
        <v/>
      </c>
      <c r="Y96" s="384">
        <f t="shared" ca="1" si="7"/>
        <v>0</v>
      </c>
      <c r="Z96" s="572"/>
      <c r="AB96" s="382"/>
      <c r="AC96" s="516"/>
      <c r="AD96" s="516"/>
      <c r="AE96" s="516"/>
      <c r="AF96" s="516"/>
      <c r="AG96" s="516"/>
      <c r="AH96" s="516"/>
      <c r="AI96" s="516"/>
      <c r="AJ96" s="516"/>
      <c r="AK96" s="516"/>
      <c r="AL96" s="516"/>
      <c r="AM96" s="383"/>
      <c r="AO96">
        <f ca="1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spans="1:41" ht="38.25" x14ac:dyDescent="0.2">
      <c r="A97" t="str">
        <f ca="1">ORÇAMENTO!C97</f>
        <v>S</v>
      </c>
      <c r="B97">
        <f ca="1">ORÇAMENTO!D97</f>
        <v>0</v>
      </c>
      <c r="C97" s="116" t="str">
        <f t="shared" ca="1" si="1"/>
        <v>F</v>
      </c>
      <c r="D97" s="119" t="str">
        <f ca="1">ORÇAMENTO!O97</f>
        <v>3.3.1.</v>
      </c>
      <c r="E97" s="172" t="str">
        <f t="shared" ca="1" si="2"/>
        <v>Escavação, carga e transporte de material de 1ª categoria - DMT de 1.000 a 1.200 m - caminho de serviço pavimentado - com escavadeira e caminhão basculante de 14 m³</v>
      </c>
      <c r="F97" s="173" t="str">
        <f ca="1">IF(RegimeExecucao="Global","",ORÇAMENTO.Unidade)</f>
        <v/>
      </c>
      <c r="G97" s="124" t="str">
        <f ca="1">IF(RegimeExecucao="Global","",ORÇAMENTO!T97)</f>
        <v/>
      </c>
      <c r="H97" s="124" t="str">
        <f ca="1">IF(RegimeExecucao="Global","",ORÇAMENTO!W97)</f>
        <v/>
      </c>
      <c r="I97" s="127">
        <f ca="1">ORÇAMENTO!X97</f>
        <v>1240.22</v>
      </c>
      <c r="J97" s="378">
        <f ca="1">IF($A97="S",IF(CAIXA.Modo,BM.AFAnterior,BM.MEDAnterior),IF(AND(RegimeExecucao="Global",$I97&gt;0,COUNTIF($AB$13:$AM$13,BM.medicao-1)&gt;0),M97/$I97*100,0))</f>
        <v>0</v>
      </c>
      <c r="K97" s="124">
        <f t="shared" ca="1" si="3"/>
        <v>0</v>
      </c>
      <c r="L97" s="379">
        <f ca="1">IF($A97="S",IF(CAIXA.Modo,BM.AFAcumulado,BM.MEDAcumulado),IF(AND(RegimeExecucao="Global",$I97&gt;0,COUNTIF($AB$13:$AM$13,BM.medicao)&gt;0),O97/$I97*100,0))</f>
        <v>0</v>
      </c>
      <c r="M97" s="380">
        <f ca="1">IF($A97="S",VTOTALBM,IF($A97=0,0,ROUND(SomaAgrupBM,15-13*ORÇAMENTO!$AF$11)))</f>
        <v>0</v>
      </c>
      <c r="N97" s="381">
        <f t="shared" ca="1" si="4"/>
        <v>0</v>
      </c>
      <c r="O97" s="127">
        <f ca="1">IF($A97="S",VTOTALBM,IF($A97=0,0,ROUND(SomaAgrupBM,15-13*ORÇAMENTO!$AF$11)))</f>
        <v>0</v>
      </c>
      <c r="Q97" s="382"/>
      <c r="R97" s="383"/>
      <c r="T97" s="119" t="str">
        <f t="shared" ca="1" si="5"/>
        <v/>
      </c>
      <c r="U97" s="172" t="str">
        <f t="shared" ca="1" si="6"/>
        <v/>
      </c>
      <c r="V97" s="173" t="str">
        <f ca="1">IF(AND($W97&gt;0,RegimeExecucao="Unitário"),$F97,"")</f>
        <v/>
      </c>
      <c r="W97" s="547">
        <f ca="1">IF($Y97&gt;0,CHOOSE(MATCH(RegimeExecucao,{"Unitário","Global"},0),IF($A97="S",$Y97/$X97,""),($Y97/$X97)*100),0)</f>
        <v>0</v>
      </c>
      <c r="X97" s="384" t="str">
        <f ca="1">IF($Y97&gt;0,CHOOSE(MATCH(RegimeExecucao,{"Unitário","Global"},0),IF($A97="S",ROUND($H97,ORÇAMENTO!$AF$10),""),ROUND($I97,ORÇAMENTO!$AF$11)),"")</f>
        <v/>
      </c>
      <c r="Y97" s="384">
        <f t="shared" ca="1" si="7"/>
        <v>0</v>
      </c>
      <c r="Z97" s="572"/>
      <c r="AB97" s="382"/>
      <c r="AC97" s="516"/>
      <c r="AD97" s="516"/>
      <c r="AE97" s="516"/>
      <c r="AF97" s="516"/>
      <c r="AG97" s="516"/>
      <c r="AH97" s="516"/>
      <c r="AI97" s="516"/>
      <c r="AJ97" s="516"/>
      <c r="AK97" s="516"/>
      <c r="AL97" s="516"/>
      <c r="AM97" s="383"/>
      <c r="AO97">
        <f ca="1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spans="1:41" x14ac:dyDescent="0.2">
      <c r="A98" t="str">
        <f ca="1">ORÇAMENTO!C98</f>
        <v>S</v>
      </c>
      <c r="B98">
        <f ca="1">ORÇAMENTO!D98</f>
        <v>0</v>
      </c>
      <c r="C98" s="116" t="str">
        <f t="shared" ref="C98:C118" ca="1" si="15">IF(OR($I98&gt;0,$A98=1,$A98=2,$A98=3,$A98=4),"F","")</f>
        <v>F</v>
      </c>
      <c r="D98" s="119" t="str">
        <f ca="1">ORÇAMENTO!O98</f>
        <v>3.3.2.</v>
      </c>
      <c r="E98" s="172" t="str">
        <f t="shared" ref="E98:E118" ca="1" si="16">ORÇAMENTO.Descricao</f>
        <v>Reaterro e compactação com soquete vibratório</v>
      </c>
      <c r="F98" s="173" t="str">
        <f ca="1">IF(RegimeExecucao="Global","",ORÇAMENTO.Unidade)</f>
        <v/>
      </c>
      <c r="G98" s="124" t="str">
        <f ca="1">IF(RegimeExecucao="Global","",ORÇAMENTO!T98)</f>
        <v/>
      </c>
      <c r="H98" s="124" t="str">
        <f ca="1">IF(RegimeExecucao="Global","",ORÇAMENTO!W98)</f>
        <v/>
      </c>
      <c r="I98" s="127">
        <f ca="1">ORÇAMENTO!X98</f>
        <v>2448.5100000000002</v>
      </c>
      <c r="J98" s="378">
        <f ca="1">IF($A98="S",IF(CAIXA.Modo,BM.AFAnterior,BM.MEDAnterior),IF(AND(RegimeExecucao="Global",$I98&gt;0,COUNTIF($AB$13:$AM$13,BM.medicao-1)&gt;0),M98/$I98*100,0))</f>
        <v>0</v>
      </c>
      <c r="K98" s="124">
        <f t="shared" ref="K98:K118" ca="1" si="17">L98-J98</f>
        <v>0</v>
      </c>
      <c r="L98" s="379">
        <f ca="1">IF($A98="S",IF(CAIXA.Modo,BM.AFAcumulado,BM.MEDAcumulado),IF(AND(RegimeExecucao="Global",$I98&gt;0,COUNTIF($AB$13:$AM$13,BM.medicao)&gt;0),O98/$I98*100,0))</f>
        <v>0</v>
      </c>
      <c r="M98" s="380">
        <f ca="1">IF($A98="S",VTOTALBM,IF($A98=0,0,ROUND(SomaAgrupBM,15-13*ORÇAMENTO!$AF$11)))</f>
        <v>0</v>
      </c>
      <c r="N98" s="381">
        <f t="shared" ref="N98:N118" ca="1" si="18">O98-M98</f>
        <v>0</v>
      </c>
      <c r="O98" s="127">
        <f ca="1">IF($A98="S",VTOTALBM,IF($A98=0,0,ROUND(SomaAgrupBM,15-13*ORÇAMENTO!$AF$11)))</f>
        <v>0</v>
      </c>
      <c r="Q98" s="382"/>
      <c r="R98" s="383"/>
      <c r="T98" s="119" t="str">
        <f t="shared" ref="T98:T118" ca="1" si="19">IF($W98&gt;0,$D98,"")</f>
        <v/>
      </c>
      <c r="U98" s="172" t="str">
        <f t="shared" ref="U98:U118" ca="1" si="20">IF($W98&gt;0,$E98,"")</f>
        <v/>
      </c>
      <c r="V98" s="173" t="str">
        <f ca="1">IF(AND($W98&gt;0,RegimeExecucao="Unitário"),$F98,"")</f>
        <v/>
      </c>
      <c r="W98" s="547">
        <f ca="1">IF($Y98&gt;0,CHOOSE(MATCH(RegimeExecucao,{"Unitário","Global"},0),IF($A98="S",$Y98/$X98,""),($Y98/$X98)*100),0)</f>
        <v>0</v>
      </c>
      <c r="X98" s="384" t="str">
        <f ca="1">IF($Y98&gt;0,CHOOSE(MATCH(RegimeExecucao,{"Unitário","Global"},0),IF($A98="S",ROUND($H98,ORÇAMENTO!$AF$10),""),ROUND($I98,ORÇAMENTO!$AF$11)),"")</f>
        <v/>
      </c>
      <c r="Y98" s="384">
        <f t="shared" ref="Y98:Y118" ca="1" si="21">AO98-O98</f>
        <v>0</v>
      </c>
      <c r="Z98" s="572"/>
      <c r="AB98" s="382"/>
      <c r="AC98" s="516"/>
      <c r="AD98" s="516"/>
      <c r="AE98" s="516"/>
      <c r="AF98" s="516"/>
      <c r="AG98" s="516"/>
      <c r="AH98" s="516"/>
      <c r="AI98" s="516"/>
      <c r="AJ98" s="516"/>
      <c r="AK98" s="516"/>
      <c r="AL98" s="516"/>
      <c r="AM98" s="383"/>
      <c r="AO98">
        <f ca="1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spans="1:41" x14ac:dyDescent="0.2">
      <c r="A99" t="str">
        <f ca="1">ORÇAMENTO!C99</f>
        <v>S</v>
      </c>
      <c r="B99">
        <f ca="1">ORÇAMENTO!D99</f>
        <v>0</v>
      </c>
      <c r="C99" s="116" t="str">
        <f t="shared" ca="1" si="15"/>
        <v>F</v>
      </c>
      <c r="D99" s="119" t="str">
        <f ca="1">ORÇAMENTO!O99</f>
        <v>3.3.3.</v>
      </c>
      <c r="E99" s="172" t="str">
        <f t="shared" ca="1" si="16"/>
        <v>Usinagem de brita graduada com brita comercial em usina de 300 t/h</v>
      </c>
      <c r="F99" s="173" t="str">
        <f ca="1">IF(RegimeExecucao="Global","",ORÇAMENTO.Unidade)</f>
        <v/>
      </c>
      <c r="G99" s="124" t="str">
        <f ca="1">IF(RegimeExecucao="Global","",ORÇAMENTO!T99)</f>
        <v/>
      </c>
      <c r="H99" s="124" t="str">
        <f ca="1">IF(RegimeExecucao="Global","",ORÇAMENTO!W99)</f>
        <v/>
      </c>
      <c r="I99" s="127">
        <f ca="1">ORÇAMENTO!X99</f>
        <v>26660</v>
      </c>
      <c r="J99" s="378">
        <f ca="1">IF($A99="S",IF(CAIXA.Modo,BM.AFAnterior,BM.MEDAnterior),IF(AND(RegimeExecucao="Global",$I99&gt;0,COUNTIF($AB$13:$AM$13,BM.medicao-1)&gt;0),M99/$I99*100,0))</f>
        <v>0</v>
      </c>
      <c r="K99" s="124">
        <f t="shared" ca="1" si="17"/>
        <v>0</v>
      </c>
      <c r="L99" s="379">
        <f ca="1">IF($A99="S",IF(CAIXA.Modo,BM.AFAcumulado,BM.MEDAcumulado),IF(AND(RegimeExecucao="Global",$I99&gt;0,COUNTIF($AB$13:$AM$13,BM.medicao)&gt;0),O99/$I99*100,0))</f>
        <v>0</v>
      </c>
      <c r="M99" s="380">
        <f ca="1">IF($A99="S",VTOTALBM,IF($A99=0,0,ROUND(SomaAgrupBM,15-13*ORÇAMENTO!$AF$11)))</f>
        <v>0</v>
      </c>
      <c r="N99" s="381">
        <f t="shared" ca="1" si="18"/>
        <v>0</v>
      </c>
      <c r="O99" s="127">
        <f ca="1">IF($A99="S",VTOTALBM,IF($A99=0,0,ROUND(SomaAgrupBM,15-13*ORÇAMENTO!$AF$11)))</f>
        <v>0</v>
      </c>
      <c r="Q99" s="382"/>
      <c r="R99" s="383"/>
      <c r="T99" s="119" t="str">
        <f t="shared" ca="1" si="19"/>
        <v/>
      </c>
      <c r="U99" s="172" t="str">
        <f t="shared" ca="1" si="20"/>
        <v/>
      </c>
      <c r="V99" s="173" t="str">
        <f ca="1">IF(AND($W99&gt;0,RegimeExecucao="Unitário"),$F99,"")</f>
        <v/>
      </c>
      <c r="W99" s="547">
        <f ca="1">IF($Y99&gt;0,CHOOSE(MATCH(RegimeExecucao,{"Unitário","Global"},0),IF($A99="S",$Y99/$X99,""),($Y99/$X99)*100),0)</f>
        <v>0</v>
      </c>
      <c r="X99" s="384" t="str">
        <f ca="1">IF($Y99&gt;0,CHOOSE(MATCH(RegimeExecucao,{"Unitário","Global"},0),IF($A99="S",ROUND($H99,ORÇAMENTO!$AF$10),""),ROUND($I99,ORÇAMENTO!$AF$11)),"")</f>
        <v/>
      </c>
      <c r="Y99" s="384">
        <f t="shared" ca="1" si="21"/>
        <v>0</v>
      </c>
      <c r="Z99" s="572"/>
      <c r="AB99" s="382"/>
      <c r="AC99" s="516"/>
      <c r="AD99" s="516"/>
      <c r="AE99" s="516"/>
      <c r="AF99" s="516"/>
      <c r="AG99" s="516"/>
      <c r="AH99" s="516"/>
      <c r="AI99" s="516"/>
      <c r="AJ99" s="516"/>
      <c r="AK99" s="516"/>
      <c r="AL99" s="516"/>
      <c r="AM99" s="383"/>
      <c r="AO99">
        <f ca="1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spans="1:41" s="577" customFormat="1" ht="25.5" x14ac:dyDescent="0.2">
      <c r="A100" s="577" t="str">
        <f ca="1">ORÇAMENTO!C100</f>
        <v>S</v>
      </c>
      <c r="B100" s="577">
        <f ca="1">ORÇAMENTO!D100</f>
        <v>0</v>
      </c>
      <c r="C100" s="116" t="str">
        <f ca="1">IF(OR($I100&gt;0,$A100=1,$A100=2,$A100=3,$A100=4),"F","")</f>
        <v>F</v>
      </c>
      <c r="D100" s="119" t="str">
        <f ca="1">ORÇAMENTO!O100</f>
        <v>3.3.4.</v>
      </c>
      <c r="E100" s="172" t="str">
        <f ca="1">ORÇAMENTO.Descricao</f>
        <v>Transporte com caminhão basculante de 10 m³ - rodovia pavimentada</v>
      </c>
      <c r="F100" s="173" t="str">
        <f ca="1">IF(RegimeExecucao="Global","",ORÇAMENTO.Unidade)</f>
        <v/>
      </c>
      <c r="G100" s="124" t="str">
        <f ca="1">IF(RegimeExecucao="Global","",ORÇAMENTO!T100)</f>
        <v/>
      </c>
      <c r="H100" s="124" t="str">
        <f ca="1">IF(RegimeExecucao="Global","",ORÇAMENTO!W100)</f>
        <v/>
      </c>
      <c r="I100" s="127">
        <f ca="1">ORÇAMENTO!X100</f>
        <v>4735.03</v>
      </c>
      <c r="J100" s="378">
        <f ca="1">IF($A100="S",IF(CAIXA.Modo,BM.AFAnterior,BM.MEDAnterior),IF(AND(RegimeExecucao="Global",$I100&gt;0,COUNTIF($AB$13:$AM$13,BM.medicao-1)&gt;0),M100/$I100*100,0))</f>
        <v>0</v>
      </c>
      <c r="K100" s="124">
        <f ca="1">L100-J100</f>
        <v>0</v>
      </c>
      <c r="L100" s="379">
        <f ca="1">IF($A100="S",IF(CAIXA.Modo,BM.AFAcumulado,BM.MEDAcumulado),IF(AND(RegimeExecucao="Global",$I100&gt;0,COUNTIF($AB$13:$AM$13,BM.medicao)&gt;0),O100/$I100*100,0))</f>
        <v>0</v>
      </c>
      <c r="M100" s="380">
        <f ca="1">IF($A100="S",VTOTALBM,IF($A100=0,0,ROUND(SomaAgrupBM,15-13*ORÇAMENTO!$AF$11)))</f>
        <v>0</v>
      </c>
      <c r="N100" s="381">
        <f ca="1">O100-M100</f>
        <v>0</v>
      </c>
      <c r="O100" s="127">
        <f ca="1">IF($A100="S",VTOTALBM,IF($A100=0,0,ROUND(SomaAgrupBM,15-13*ORÇAMENTO!$AF$11)))</f>
        <v>0</v>
      </c>
      <c r="Q100" s="382"/>
      <c r="R100" s="383"/>
      <c r="T100" s="119" t="str">
        <f ca="1">IF($W100&gt;0,$D100,"")</f>
        <v/>
      </c>
      <c r="U100" s="172" t="str">
        <f ca="1">IF($W100&gt;0,$E100,"")</f>
        <v/>
      </c>
      <c r="V100" s="173" t="str">
        <f ca="1">IF(AND($W100&gt;0,RegimeExecucao="Unitário"),$F100,"")</f>
        <v/>
      </c>
      <c r="W100" s="547">
        <f ca="1">IF($Y100&gt;0,CHOOSE(MATCH(RegimeExecucao,{"Unitário","Global"},0),IF($A100="S",$Y100/$X100,""),($Y100/$X100)*100),0)</f>
        <v>0</v>
      </c>
      <c r="X100" s="384" t="str">
        <f ca="1">IF($Y100&gt;0,CHOOSE(MATCH(RegimeExecucao,{"Unitário","Global"},0),IF($A100="S",ROUND($H100,ORÇAMENTO!$AF$10),""),ROUND($I100,ORÇAMENTO!$AF$11)),"")</f>
        <v/>
      </c>
      <c r="Y100" s="384">
        <f ca="1">AO100-O100</f>
        <v>0</v>
      </c>
      <c r="Z100" s="572"/>
      <c r="AB100" s="382"/>
      <c r="AC100" s="516"/>
      <c r="AD100" s="516"/>
      <c r="AE100" s="516"/>
      <c r="AF100" s="516"/>
      <c r="AG100" s="516"/>
      <c r="AH100" s="516"/>
      <c r="AI100" s="516"/>
      <c r="AJ100" s="516"/>
      <c r="AK100" s="516"/>
      <c r="AL100" s="516"/>
      <c r="AM100" s="383"/>
      <c r="AO100" s="577">
        <f ca="1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spans="1:41" ht="25.5" x14ac:dyDescent="0.2">
      <c r="A101" t="str">
        <f ca="1">ORÇAMENTO!C101</f>
        <v>S</v>
      </c>
      <c r="B101">
        <f ca="1">ORÇAMENTO!D101</f>
        <v>0</v>
      </c>
      <c r="C101" s="116" t="str">
        <f t="shared" ca="1" si="15"/>
        <v>F</v>
      </c>
      <c r="D101" s="119" t="str">
        <f ca="1">ORÇAMENTO!O101</f>
        <v>3.3.5.</v>
      </c>
      <c r="E101" s="172" t="str">
        <f t="shared" ca="1" si="16"/>
        <v>TUBO DE CONCRETO PA2 COMERCIAL PARA DRENAGEM - D=0,40 m (fornecimento e instalação)</v>
      </c>
      <c r="F101" s="173" t="str">
        <f ca="1">IF(RegimeExecucao="Global","",ORÇAMENTO.Unidade)</f>
        <v/>
      </c>
      <c r="G101" s="124" t="str">
        <f ca="1">IF(RegimeExecucao="Global","",ORÇAMENTO!T101)</f>
        <v/>
      </c>
      <c r="H101" s="124" t="str">
        <f ca="1">IF(RegimeExecucao="Global","",ORÇAMENTO!W101)</f>
        <v/>
      </c>
      <c r="I101" s="127">
        <f ca="1">ORÇAMENTO!X101</f>
        <v>28753.97</v>
      </c>
      <c r="J101" s="378">
        <f ca="1">IF($A101="S",IF(CAIXA.Modo,BM.AFAnterior,BM.MEDAnterior),IF(AND(RegimeExecucao="Global",$I101&gt;0,COUNTIF($AB$13:$AM$13,BM.medicao-1)&gt;0),M101/$I101*100,0))</f>
        <v>0</v>
      </c>
      <c r="K101" s="124">
        <f t="shared" ca="1" si="17"/>
        <v>0</v>
      </c>
      <c r="L101" s="379">
        <f ca="1">IF($A101="S",IF(CAIXA.Modo,BM.AFAcumulado,BM.MEDAcumulado),IF(AND(RegimeExecucao="Global",$I101&gt;0,COUNTIF($AB$13:$AM$13,BM.medicao)&gt;0),O101/$I101*100,0))</f>
        <v>0</v>
      </c>
      <c r="M101" s="380">
        <f ca="1">IF($A101="S",VTOTALBM,IF($A101=0,0,ROUND(SomaAgrupBM,15-13*ORÇAMENTO!$AF$11)))</f>
        <v>0</v>
      </c>
      <c r="N101" s="381">
        <f t="shared" ca="1" si="18"/>
        <v>0</v>
      </c>
      <c r="O101" s="127">
        <f ca="1">IF($A101="S",VTOTALBM,IF($A101=0,0,ROUND(SomaAgrupBM,15-13*ORÇAMENTO!$AF$11)))</f>
        <v>0</v>
      </c>
      <c r="Q101" s="382"/>
      <c r="R101" s="383"/>
      <c r="T101" s="119" t="str">
        <f t="shared" ca="1" si="19"/>
        <v/>
      </c>
      <c r="U101" s="172" t="str">
        <f t="shared" ca="1" si="20"/>
        <v/>
      </c>
      <c r="V101" s="173" t="str">
        <f ca="1">IF(AND($W101&gt;0,RegimeExecucao="Unitário"),$F101,"")</f>
        <v/>
      </c>
      <c r="W101" s="547">
        <f ca="1">IF($Y101&gt;0,CHOOSE(MATCH(RegimeExecucao,{"Unitário","Global"},0),IF($A101="S",$Y101/$X101,""),($Y101/$X101)*100),0)</f>
        <v>0</v>
      </c>
      <c r="X101" s="384" t="str">
        <f ca="1">IF($Y101&gt;0,CHOOSE(MATCH(RegimeExecucao,{"Unitário","Global"},0),IF($A101="S",ROUND($H101,ORÇAMENTO!$AF$10),""),ROUND($I101,ORÇAMENTO!$AF$11)),"")</f>
        <v/>
      </c>
      <c r="Y101" s="384">
        <f t="shared" ca="1" si="21"/>
        <v>0</v>
      </c>
      <c r="Z101" s="572"/>
      <c r="AB101" s="382"/>
      <c r="AC101" s="516"/>
      <c r="AD101" s="516"/>
      <c r="AE101" s="516"/>
      <c r="AF101" s="516"/>
      <c r="AG101" s="516"/>
      <c r="AH101" s="516"/>
      <c r="AI101" s="516"/>
      <c r="AJ101" s="516"/>
      <c r="AK101" s="516"/>
      <c r="AL101" s="516"/>
      <c r="AM101" s="383"/>
      <c r="AO101">
        <f ca="1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spans="1:41" x14ac:dyDescent="0.2">
      <c r="A102" t="str">
        <f ca="1">ORÇAMENTO!C102</f>
        <v>S</v>
      </c>
      <c r="B102">
        <f ca="1">ORÇAMENTO!D102</f>
        <v>0</v>
      </c>
      <c r="C102" s="116" t="str">
        <f t="shared" ca="1" si="15"/>
        <v>F</v>
      </c>
      <c r="D102" s="119" t="str">
        <f ca="1">ORÇAMENTO!O102</f>
        <v>3.3.6.</v>
      </c>
      <c r="E102" s="172" t="str">
        <f t="shared" ca="1" si="16"/>
        <v>BOCA DE LOBO COM GRADE 80X80 (INTERNA) - TIPO BL</v>
      </c>
      <c r="F102" s="173" t="str">
        <f ca="1">IF(RegimeExecucao="Global","",ORÇAMENTO.Unidade)</f>
        <v/>
      </c>
      <c r="G102" s="124" t="str">
        <f ca="1">IF(RegimeExecucao="Global","",ORÇAMENTO!T102)</f>
        <v/>
      </c>
      <c r="H102" s="124" t="str">
        <f ca="1">IF(RegimeExecucao="Global","",ORÇAMENTO!W102)</f>
        <v/>
      </c>
      <c r="I102" s="127">
        <f ca="1">ORÇAMENTO!X102</f>
        <v>3548.16</v>
      </c>
      <c r="J102" s="378">
        <f ca="1">IF($A102="S",IF(CAIXA.Modo,BM.AFAnterior,BM.MEDAnterior),IF(AND(RegimeExecucao="Global",$I102&gt;0,COUNTIF($AB$13:$AM$13,BM.medicao-1)&gt;0),M102/$I102*100,0))</f>
        <v>0</v>
      </c>
      <c r="K102" s="124">
        <f t="shared" ca="1" si="17"/>
        <v>0</v>
      </c>
      <c r="L102" s="379">
        <f ca="1">IF($A102="S",IF(CAIXA.Modo,BM.AFAcumulado,BM.MEDAcumulado),IF(AND(RegimeExecucao="Global",$I102&gt;0,COUNTIF($AB$13:$AM$13,BM.medicao)&gt;0),O102/$I102*100,0))</f>
        <v>0</v>
      </c>
      <c r="M102" s="380">
        <f ca="1">IF($A102="S",VTOTALBM,IF($A102=0,0,ROUND(SomaAgrupBM,15-13*ORÇAMENTO!$AF$11)))</f>
        <v>0</v>
      </c>
      <c r="N102" s="381">
        <f t="shared" ca="1" si="18"/>
        <v>0</v>
      </c>
      <c r="O102" s="127">
        <f ca="1">IF($A102="S",VTOTALBM,IF($A102=0,0,ROUND(SomaAgrupBM,15-13*ORÇAMENTO!$AF$11)))</f>
        <v>0</v>
      </c>
      <c r="Q102" s="382"/>
      <c r="R102" s="383"/>
      <c r="T102" s="119" t="str">
        <f t="shared" ca="1" si="19"/>
        <v/>
      </c>
      <c r="U102" s="172" t="str">
        <f t="shared" ca="1" si="20"/>
        <v/>
      </c>
      <c r="V102" s="173" t="str">
        <f ca="1">IF(AND($W102&gt;0,RegimeExecucao="Unitário"),$F102,"")</f>
        <v/>
      </c>
      <c r="W102" s="547">
        <f ca="1">IF($Y102&gt;0,CHOOSE(MATCH(RegimeExecucao,{"Unitário","Global"},0),IF($A102="S",$Y102/$X102,""),($Y102/$X102)*100),0)</f>
        <v>0</v>
      </c>
      <c r="X102" s="384" t="str">
        <f ca="1">IF($Y102&gt;0,CHOOSE(MATCH(RegimeExecucao,{"Unitário","Global"},0),IF($A102="S",ROUND($H102,ORÇAMENTO!$AF$10),""),ROUND($I102,ORÇAMENTO!$AF$11)),"")</f>
        <v/>
      </c>
      <c r="Y102" s="384">
        <f t="shared" ca="1" si="21"/>
        <v>0</v>
      </c>
      <c r="Z102" s="572"/>
      <c r="AB102" s="382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383"/>
      <c r="AO102">
        <f ca="1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spans="1:41" ht="25.5" x14ac:dyDescent="0.2">
      <c r="A103" t="str">
        <f ca="1">ORÇAMENTO!C103</f>
        <v>S</v>
      </c>
      <c r="B103">
        <f ca="1">ORÇAMENTO!D103</f>
        <v>0</v>
      </c>
      <c r="C103" s="116" t="str">
        <f t="shared" ca="1" si="15"/>
        <v>F</v>
      </c>
      <c r="D103" s="119" t="str">
        <f ca="1">ORÇAMENTO!O103</f>
        <v>3.3.7.</v>
      </c>
      <c r="E103" s="172" t="str">
        <f t="shared" ca="1" si="16"/>
        <v>SARJETA DE CONCRETO MOLDADA IN LOCO, CONCRETO USINADO 30X5 CM</v>
      </c>
      <c r="F103" s="173" t="str">
        <f ca="1">IF(RegimeExecucao="Global","",ORÇAMENTO.Unidade)</f>
        <v/>
      </c>
      <c r="G103" s="124" t="str">
        <f ca="1">IF(RegimeExecucao="Global","",ORÇAMENTO!T103)</f>
        <v/>
      </c>
      <c r="H103" s="124" t="str">
        <f ca="1">IF(RegimeExecucao="Global","",ORÇAMENTO!W103)</f>
        <v/>
      </c>
      <c r="I103" s="127">
        <f ca="1">ORÇAMENTO!X103</f>
        <v>13394.47</v>
      </c>
      <c r="J103" s="378">
        <f ca="1">IF($A103="S",IF(CAIXA.Modo,BM.AFAnterior,BM.MEDAnterior),IF(AND(RegimeExecucao="Global",$I103&gt;0,COUNTIF($AB$13:$AM$13,BM.medicao-1)&gt;0),M103/$I103*100,0))</f>
        <v>0</v>
      </c>
      <c r="K103" s="124">
        <f t="shared" ca="1" si="17"/>
        <v>0</v>
      </c>
      <c r="L103" s="379">
        <f ca="1">IF($A103="S",IF(CAIXA.Modo,BM.AFAcumulado,BM.MEDAcumulado),IF(AND(RegimeExecucao="Global",$I103&gt;0,COUNTIF($AB$13:$AM$13,BM.medicao)&gt;0),O103/$I103*100,0))</f>
        <v>0</v>
      </c>
      <c r="M103" s="380">
        <f ca="1">IF($A103="S",VTOTALBM,IF($A103=0,0,ROUND(SomaAgrupBM,15-13*ORÇAMENTO!$AF$11)))</f>
        <v>0</v>
      </c>
      <c r="N103" s="381">
        <f t="shared" ca="1" si="18"/>
        <v>0</v>
      </c>
      <c r="O103" s="127">
        <f ca="1">IF($A103="S",VTOTALBM,IF($A103=0,0,ROUND(SomaAgrupBM,15-13*ORÇAMENTO!$AF$11)))</f>
        <v>0</v>
      </c>
      <c r="Q103" s="382"/>
      <c r="R103" s="383"/>
      <c r="T103" s="119" t="str">
        <f t="shared" ca="1" si="19"/>
        <v/>
      </c>
      <c r="U103" s="172" t="str">
        <f t="shared" ca="1" si="20"/>
        <v/>
      </c>
      <c r="V103" s="173" t="str">
        <f ca="1">IF(AND($W103&gt;0,RegimeExecucao="Unitário"),$F103,"")</f>
        <v/>
      </c>
      <c r="W103" s="547">
        <f ca="1">IF($Y103&gt;0,CHOOSE(MATCH(RegimeExecucao,{"Unitário","Global"},0),IF($A103="S",$Y103/$X103,""),($Y103/$X103)*100),0)</f>
        <v>0</v>
      </c>
      <c r="X103" s="384" t="str">
        <f ca="1">IF($Y103&gt;0,CHOOSE(MATCH(RegimeExecucao,{"Unitário","Global"},0),IF($A103="S",ROUND($H103,ORÇAMENTO!$AF$10),""),ROUND($I103,ORÇAMENTO!$AF$11)),"")</f>
        <v/>
      </c>
      <c r="Y103" s="384">
        <f t="shared" ca="1" si="21"/>
        <v>0</v>
      </c>
      <c r="Z103" s="572"/>
      <c r="AB103" s="382"/>
      <c r="AC103" s="516"/>
      <c r="AD103" s="516"/>
      <c r="AE103" s="516"/>
      <c r="AF103" s="516"/>
      <c r="AG103" s="516"/>
      <c r="AH103" s="516"/>
      <c r="AI103" s="516"/>
      <c r="AJ103" s="516"/>
      <c r="AK103" s="516"/>
      <c r="AL103" s="516"/>
      <c r="AM103" s="383"/>
      <c r="AO103">
        <f ca="1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spans="1:41" x14ac:dyDescent="0.2">
      <c r="A104">
        <f ca="1">ORÇAMENTO!C104</f>
        <v>2</v>
      </c>
      <c r="B104">
        <f ca="1">ORÇAMENTO!D104</f>
        <v>9</v>
      </c>
      <c r="C104" s="116" t="str">
        <f t="shared" ca="1" si="15"/>
        <v>F</v>
      </c>
      <c r="D104" s="119" t="str">
        <f ca="1">ORÇAMENTO!O104</f>
        <v>3.4.</v>
      </c>
      <c r="E104" s="172" t="str">
        <f t="shared" si="16"/>
        <v>PAVIMENTAÇÃO</v>
      </c>
      <c r="F104" s="173" t="str">
        <f ca="1">IF(RegimeExecucao="Global","",ORÇAMENTO.Unidade)</f>
        <v/>
      </c>
      <c r="G104" s="124" t="str">
        <f ca="1">IF(RegimeExecucao="Global","",ORÇAMENTO!T104)</f>
        <v/>
      </c>
      <c r="H104" s="124" t="str">
        <f ca="1">IF(RegimeExecucao="Global","",ORÇAMENTO!W104)</f>
        <v/>
      </c>
      <c r="I104" s="127">
        <f ca="1">ORÇAMENTO!X104</f>
        <v>268475.01</v>
      </c>
      <c r="J104" s="378">
        <f ca="1">IF($A104="S",IF(CAIXA.Modo,BM.AFAnterior,BM.MEDAnterior),IF(AND(RegimeExecucao="Global",$I104&gt;0,COUNTIF($AB$13:$AM$13,BM.medicao-1)&gt;0),M104/$I104*100,0))</f>
        <v>0</v>
      </c>
      <c r="K104" s="124">
        <f t="shared" ca="1" si="17"/>
        <v>0</v>
      </c>
      <c r="L104" s="379">
        <f ca="1">IF($A104="S",IF(CAIXA.Modo,BM.AFAcumulado,BM.MEDAcumulado),IF(AND(RegimeExecucao="Global",$I104&gt;0,COUNTIF($AB$13:$AM$13,BM.medicao)&gt;0),O104/$I104*100,0))</f>
        <v>0</v>
      </c>
      <c r="M104" s="380">
        <f ca="1">IF($A104="S",VTOTALBM,IF($A104=0,0,ROUND(SomaAgrupBM,15-13*ORÇAMENTO!$AF$11)))</f>
        <v>0</v>
      </c>
      <c r="N104" s="381">
        <f t="shared" ca="1" si="18"/>
        <v>0</v>
      </c>
      <c r="O104" s="127">
        <f ca="1">IF($A104="S",VTOTALBM,IF($A104=0,0,ROUND(SomaAgrupBM,15-13*ORÇAMENTO!$AF$11)))</f>
        <v>0</v>
      </c>
      <c r="Q104" s="382"/>
      <c r="R104" s="383"/>
      <c r="T104" s="119" t="str">
        <f t="shared" ca="1" si="19"/>
        <v/>
      </c>
      <c r="U104" s="172" t="str">
        <f t="shared" ca="1" si="20"/>
        <v/>
      </c>
      <c r="V104" s="173" t="str">
        <f ca="1">IF(AND($W104&gt;0,RegimeExecucao="Unitário"),$F104,"")</f>
        <v/>
      </c>
      <c r="W104" s="547">
        <f ca="1">IF($Y104&gt;0,CHOOSE(MATCH(RegimeExecucao,{"Unitário","Global"},0),IF($A104="S",$Y104/$X104,""),($Y104/$X104)*100),0)</f>
        <v>0</v>
      </c>
      <c r="X104" s="384" t="str">
        <f ca="1">IF($Y104&gt;0,CHOOSE(MATCH(RegimeExecucao,{"Unitário","Global"},0),IF($A104="S",ROUND($H104,ORÇAMENTO!$AF$10),""),ROUND($I104,ORÇAMENTO!$AF$11)),"")</f>
        <v/>
      </c>
      <c r="Y104" s="384">
        <f t="shared" ca="1" si="21"/>
        <v>0</v>
      </c>
      <c r="Z104" s="572"/>
      <c r="AB104" s="382"/>
      <c r="AC104" s="516"/>
      <c r="AD104" s="516"/>
      <c r="AE104" s="516"/>
      <c r="AF104" s="516"/>
      <c r="AG104" s="516"/>
      <c r="AH104" s="516"/>
      <c r="AI104" s="516"/>
      <c r="AJ104" s="516"/>
      <c r="AK104" s="516"/>
      <c r="AL104" s="516"/>
      <c r="AM104" s="383"/>
      <c r="AO104">
        <f ca="1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spans="1:41" ht="25.5" x14ac:dyDescent="0.2">
      <c r="A105" t="str">
        <f ca="1">ORÇAMENTO!C105</f>
        <v>S</v>
      </c>
      <c r="B105">
        <f ca="1">ORÇAMENTO!D105</f>
        <v>0</v>
      </c>
      <c r="C105" s="116" t="str">
        <f t="shared" ca="1" si="15"/>
        <v>F</v>
      </c>
      <c r="D105" s="119" t="str">
        <f ca="1">ORÇAMENTO!O105</f>
        <v>3.4.1.</v>
      </c>
      <c r="E105" s="172" t="str">
        <f t="shared" ca="1" si="16"/>
        <v>LIMPEZA E LAVAGEM DE PISTA COM CAMINHÃO PIPA E VASSOURA MECÂNICA</v>
      </c>
      <c r="F105" s="173" t="str">
        <f ca="1">IF(RegimeExecucao="Global","",ORÇAMENTO.Unidade)</f>
        <v/>
      </c>
      <c r="G105" s="124" t="str">
        <f ca="1">IF(RegimeExecucao="Global","",ORÇAMENTO!T105)</f>
        <v/>
      </c>
      <c r="H105" s="124" t="str">
        <f ca="1">IF(RegimeExecucao="Global","",ORÇAMENTO!W105)</f>
        <v/>
      </c>
      <c r="I105" s="127">
        <f ca="1">ORÇAMENTO!X105</f>
        <v>3139.55</v>
      </c>
      <c r="J105" s="378">
        <f ca="1">IF($A105="S",IF(CAIXA.Modo,BM.AFAnterior,BM.MEDAnterior),IF(AND(RegimeExecucao="Global",$I105&gt;0,COUNTIF($AB$13:$AM$13,BM.medicao-1)&gt;0),M105/$I105*100,0))</f>
        <v>0</v>
      </c>
      <c r="K105" s="124">
        <f t="shared" ca="1" si="17"/>
        <v>0</v>
      </c>
      <c r="L105" s="379">
        <f ca="1">IF($A105="S",IF(CAIXA.Modo,BM.AFAcumulado,BM.MEDAcumulado),IF(AND(RegimeExecucao="Global",$I105&gt;0,COUNTIF($AB$13:$AM$13,BM.medicao)&gt;0),O105/$I105*100,0))</f>
        <v>0</v>
      </c>
      <c r="M105" s="380">
        <f ca="1">IF($A105="S",VTOTALBM,IF($A105=0,0,ROUND(SomaAgrupBM,15-13*ORÇAMENTO!$AF$11)))</f>
        <v>0</v>
      </c>
      <c r="N105" s="381">
        <f t="shared" ca="1" si="18"/>
        <v>0</v>
      </c>
      <c r="O105" s="127">
        <f ca="1">IF($A105="S",VTOTALBM,IF($A105=0,0,ROUND(SomaAgrupBM,15-13*ORÇAMENTO!$AF$11)))</f>
        <v>0</v>
      </c>
      <c r="Q105" s="382"/>
      <c r="R105" s="383"/>
      <c r="T105" s="119" t="str">
        <f t="shared" ca="1" si="19"/>
        <v/>
      </c>
      <c r="U105" s="172" t="str">
        <f t="shared" ca="1" si="20"/>
        <v/>
      </c>
      <c r="V105" s="173" t="str">
        <f ca="1">IF(AND($W105&gt;0,RegimeExecucao="Unitário"),$F105,"")</f>
        <v/>
      </c>
      <c r="W105" s="547">
        <f ca="1">IF($Y105&gt;0,CHOOSE(MATCH(RegimeExecucao,{"Unitário","Global"},0),IF($A105="S",$Y105/$X105,""),($Y105/$X105)*100),0)</f>
        <v>0</v>
      </c>
      <c r="X105" s="384" t="str">
        <f ca="1">IF($Y105&gt;0,CHOOSE(MATCH(RegimeExecucao,{"Unitário","Global"},0),IF($A105="S",ROUND($H105,ORÇAMENTO!$AF$10),""),ROUND($I105,ORÇAMENTO!$AF$11)),"")</f>
        <v/>
      </c>
      <c r="Y105" s="384">
        <f t="shared" ca="1" si="21"/>
        <v>0</v>
      </c>
      <c r="Z105" s="572"/>
      <c r="AB105" s="382"/>
      <c r="AC105" s="516"/>
      <c r="AD105" s="516"/>
      <c r="AE105" s="516"/>
      <c r="AF105" s="516"/>
      <c r="AG105" s="516"/>
      <c r="AH105" s="516"/>
      <c r="AI105" s="516"/>
      <c r="AJ105" s="516"/>
      <c r="AK105" s="516"/>
      <c r="AL105" s="516"/>
      <c r="AM105" s="383"/>
      <c r="AO105">
        <f ca="1">IF($A105="S",IF(BM!$I105=0,0,CHOOSE(MATCH(RegimeExecucao,{"Global","Unitário"},0),ROUND(ROUND(BM.MEDAcumulado,15-13*BM!$A$9)/100*BM!$I105,15-13*ORÇAMENTO!$AF$11),ROUND(ROUND(BM.MEDAcumulado,15-13*BM!$A$9)*ROUND(BM!$H105,15-13*ORÇAMENTO!$AF$10),15-13*ORÇAMENTO!$AF$11))),IF($A105=0,0,ROUND(SomaAgrupBM,15-13*ORÇAMENTO!$AF$11)))</f>
        <v>0</v>
      </c>
    </row>
    <row r="106" spans="1:41" x14ac:dyDescent="0.2">
      <c r="A106" t="str">
        <f ca="1">ORÇAMENTO!C106</f>
        <v>S</v>
      </c>
      <c r="B106">
        <f ca="1">ORÇAMENTO!D106</f>
        <v>0</v>
      </c>
      <c r="C106" s="116" t="str">
        <f t="shared" ca="1" si="15"/>
        <v>F</v>
      </c>
      <c r="D106" s="119" t="str">
        <f ca="1">ORÇAMENTO!O106</f>
        <v>3.4.2.</v>
      </c>
      <c r="E106" s="172" t="str">
        <f t="shared" ca="1" si="16"/>
        <v>Pintura de ligação</v>
      </c>
      <c r="F106" s="173" t="str">
        <f ca="1">IF(RegimeExecucao="Global","",ORÇAMENTO.Unidade)</f>
        <v/>
      </c>
      <c r="G106" s="124" t="str">
        <f ca="1">IF(RegimeExecucao="Global","",ORÇAMENTO!T106)</f>
        <v/>
      </c>
      <c r="H106" s="124" t="str">
        <f ca="1">IF(RegimeExecucao="Global","",ORÇAMENTO!W106)</f>
        <v/>
      </c>
      <c r="I106" s="127">
        <f ca="1">ORÇAMENTO!X106</f>
        <v>2818.18</v>
      </c>
      <c r="J106" s="378">
        <f ca="1">IF($A106="S",IF(CAIXA.Modo,BM.AFAnterior,BM.MEDAnterior),IF(AND(RegimeExecucao="Global",$I106&gt;0,COUNTIF($AB$13:$AM$13,BM.medicao-1)&gt;0),M106/$I106*100,0))</f>
        <v>0</v>
      </c>
      <c r="K106" s="124">
        <f t="shared" ca="1" si="17"/>
        <v>0</v>
      </c>
      <c r="L106" s="379">
        <f ca="1">IF($A106="S",IF(CAIXA.Modo,BM.AFAcumulado,BM.MEDAcumulado),IF(AND(RegimeExecucao="Global",$I106&gt;0,COUNTIF($AB$13:$AM$13,BM.medicao)&gt;0),O106/$I106*100,0))</f>
        <v>0</v>
      </c>
      <c r="M106" s="380">
        <f ca="1">IF($A106="S",VTOTALBM,IF($A106=0,0,ROUND(SomaAgrupBM,15-13*ORÇAMENTO!$AF$11)))</f>
        <v>0</v>
      </c>
      <c r="N106" s="381">
        <f t="shared" ca="1" si="18"/>
        <v>0</v>
      </c>
      <c r="O106" s="127">
        <f ca="1">IF($A106="S",VTOTALBM,IF($A106=0,0,ROUND(SomaAgrupBM,15-13*ORÇAMENTO!$AF$11)))</f>
        <v>0</v>
      </c>
      <c r="Q106" s="382"/>
      <c r="R106" s="383"/>
      <c r="T106" s="119" t="str">
        <f t="shared" ca="1" si="19"/>
        <v/>
      </c>
      <c r="U106" s="172" t="str">
        <f t="shared" ca="1" si="20"/>
        <v/>
      </c>
      <c r="V106" s="173" t="str">
        <f ca="1">IF(AND($W106&gt;0,RegimeExecucao="Unitário"),$F106,"")</f>
        <v/>
      </c>
      <c r="W106" s="547">
        <f ca="1">IF($Y106&gt;0,CHOOSE(MATCH(RegimeExecucao,{"Unitário","Global"},0),IF($A106="S",$Y106/$X106,""),($Y106/$X106)*100),0)</f>
        <v>0</v>
      </c>
      <c r="X106" s="384" t="str">
        <f ca="1">IF($Y106&gt;0,CHOOSE(MATCH(RegimeExecucao,{"Unitário","Global"},0),IF($A106="S",ROUND($H106,ORÇAMENTO!$AF$10),""),ROUND($I106,ORÇAMENTO!$AF$11)),"")</f>
        <v/>
      </c>
      <c r="Y106" s="384">
        <f t="shared" ca="1" si="21"/>
        <v>0</v>
      </c>
      <c r="Z106" s="572"/>
      <c r="AB106" s="382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383"/>
      <c r="AO106">
        <f ca="1">IF($A106="S",IF(BM!$I106=0,0,CHOOSE(MATCH(RegimeExecucao,{"Global","Unitário"},0),ROUND(ROUND(BM.MEDAcumulado,15-13*BM!$A$9)/100*BM!$I106,15-13*ORÇAMENTO!$AF$11),ROUND(ROUND(BM.MEDAcumulado,15-13*BM!$A$9)*ROUND(BM!$H106,15-13*ORÇAMENTO!$AF$10),15-13*ORÇAMENTO!$AF$11))),IF($A106=0,0,ROUND(SomaAgrupBM,15-13*ORÇAMENTO!$AF$11)))</f>
        <v>0</v>
      </c>
    </row>
    <row r="107" spans="1:41" x14ac:dyDescent="0.2">
      <c r="A107" t="str">
        <f ca="1">ORÇAMENTO!C107</f>
        <v>S</v>
      </c>
      <c r="B107">
        <f ca="1">ORÇAMENTO!D107</f>
        <v>0</v>
      </c>
      <c r="C107" s="116" t="str">
        <f t="shared" ca="1" si="15"/>
        <v>F</v>
      </c>
      <c r="D107" s="119" t="str">
        <f ca="1">ORÇAMENTO!O107</f>
        <v>3.4.3.</v>
      </c>
      <c r="E107" s="172" t="str">
        <f t="shared" ca="1" si="16"/>
        <v>Concreto asfáltico - faixa C-12,5 - areia e brita comerciais</v>
      </c>
      <c r="F107" s="173" t="str">
        <f ca="1">IF(RegimeExecucao="Global","",ORÇAMENTO.Unidade)</f>
        <v/>
      </c>
      <c r="G107" s="124" t="str">
        <f ca="1">IF(RegimeExecucao="Global","",ORÇAMENTO!T107)</f>
        <v/>
      </c>
      <c r="H107" s="124" t="str">
        <f ca="1">IF(RegimeExecucao="Global","",ORÇAMENTO!W107)</f>
        <v/>
      </c>
      <c r="I107" s="127">
        <f ca="1">ORÇAMENTO!X107</f>
        <v>92025.22</v>
      </c>
      <c r="J107" s="378">
        <f ca="1">IF($A107="S",IF(CAIXA.Modo,BM.AFAnterior,BM.MEDAnterior),IF(AND(RegimeExecucao="Global",$I107&gt;0,COUNTIF($AB$13:$AM$13,BM.medicao-1)&gt;0),M107/$I107*100,0))</f>
        <v>0</v>
      </c>
      <c r="K107" s="124">
        <f t="shared" ca="1" si="17"/>
        <v>0</v>
      </c>
      <c r="L107" s="379">
        <f ca="1">IF($A107="S",IF(CAIXA.Modo,BM.AFAcumulado,BM.MEDAcumulado),IF(AND(RegimeExecucao="Global",$I107&gt;0,COUNTIF($AB$13:$AM$13,BM.medicao)&gt;0),O107/$I107*100,0))</f>
        <v>0</v>
      </c>
      <c r="M107" s="380">
        <f ca="1">IF($A107="S",VTOTALBM,IF($A107=0,0,ROUND(SomaAgrupBM,15-13*ORÇAMENTO!$AF$11)))</f>
        <v>0</v>
      </c>
      <c r="N107" s="381">
        <f t="shared" ca="1" si="18"/>
        <v>0</v>
      </c>
      <c r="O107" s="127">
        <f ca="1">IF($A107="S",VTOTALBM,IF($A107=0,0,ROUND(SomaAgrupBM,15-13*ORÇAMENTO!$AF$11)))</f>
        <v>0</v>
      </c>
      <c r="Q107" s="382"/>
      <c r="R107" s="383"/>
      <c r="T107" s="119" t="str">
        <f t="shared" ca="1" si="19"/>
        <v/>
      </c>
      <c r="U107" s="172" t="str">
        <f t="shared" ca="1" si="20"/>
        <v/>
      </c>
      <c r="V107" s="173" t="str">
        <f ca="1">IF(AND($W107&gt;0,RegimeExecucao="Unitário"),$F107,"")</f>
        <v/>
      </c>
      <c r="W107" s="547">
        <f ca="1">IF($Y107&gt;0,CHOOSE(MATCH(RegimeExecucao,{"Unitário","Global"},0),IF($A107="S",$Y107/$X107,""),($Y107/$X107)*100),0)</f>
        <v>0</v>
      </c>
      <c r="X107" s="384" t="str">
        <f ca="1">IF($Y107&gt;0,CHOOSE(MATCH(RegimeExecucao,{"Unitário","Global"},0),IF($A107="S",ROUND($H107,ORÇAMENTO!$AF$10),""),ROUND($I107,ORÇAMENTO!$AF$11)),"")</f>
        <v/>
      </c>
      <c r="Y107" s="384">
        <f t="shared" ca="1" si="21"/>
        <v>0</v>
      </c>
      <c r="Z107" s="572"/>
      <c r="AB107" s="382"/>
      <c r="AC107" s="516"/>
      <c r="AD107" s="516"/>
      <c r="AE107" s="516"/>
      <c r="AF107" s="516"/>
      <c r="AG107" s="516"/>
      <c r="AH107" s="516"/>
      <c r="AI107" s="516"/>
      <c r="AJ107" s="516"/>
      <c r="AK107" s="516"/>
      <c r="AL107" s="516"/>
      <c r="AM107" s="383"/>
      <c r="AO107">
        <f ca="1">IF($A107="S",IF(BM!$I107=0,0,CHOOSE(MATCH(RegimeExecucao,{"Global","Unitário"},0),ROUND(ROUND(BM.MEDAcumulado,15-13*BM!$A$9)/100*BM!$I107,15-13*ORÇAMENTO!$AF$11),ROUND(ROUND(BM.MEDAcumulado,15-13*BM!$A$9)*ROUND(BM!$H107,15-13*ORÇAMENTO!$AF$10),15-13*ORÇAMENTO!$AF$11))),IF($A107=0,0,ROUND(SomaAgrupBM,15-13*ORÇAMENTO!$AF$11)))</f>
        <v>0</v>
      </c>
    </row>
    <row r="108" spans="1:41" ht="25.5" x14ac:dyDescent="0.2">
      <c r="A108" t="str">
        <f ca="1">ORÇAMENTO!C108</f>
        <v>S</v>
      </c>
      <c r="B108">
        <f ca="1">ORÇAMENTO!D108</f>
        <v>0</v>
      </c>
      <c r="C108" s="116" t="str">
        <f t="shared" ca="1" si="15"/>
        <v>F</v>
      </c>
      <c r="D108" s="119" t="str">
        <f ca="1">ORÇAMENTO!O108</f>
        <v>3.4.4.</v>
      </c>
      <c r="E108" s="172" t="str">
        <f t="shared" ca="1" si="16"/>
        <v>Transporte com caminhão basculante de 10 m³ - rodovia pavimentada</v>
      </c>
      <c r="F108" s="173" t="str">
        <f ca="1">IF(RegimeExecucao="Global","",ORÇAMENTO.Unidade)</f>
        <v/>
      </c>
      <c r="G108" s="124" t="str">
        <f ca="1">IF(RegimeExecucao="Global","",ORÇAMENTO!T108)</f>
        <v/>
      </c>
      <c r="H108" s="124" t="str">
        <f ca="1">IF(RegimeExecucao="Global","",ORÇAMENTO!W108)</f>
        <v/>
      </c>
      <c r="I108" s="127">
        <f ca="1">ORÇAMENTO!X108</f>
        <v>11045.41</v>
      </c>
      <c r="J108" s="378">
        <f ca="1">IF($A108="S",IF(CAIXA.Modo,BM.AFAnterior,BM.MEDAnterior),IF(AND(RegimeExecucao="Global",$I108&gt;0,COUNTIF($AB$13:$AM$13,BM.medicao-1)&gt;0),M108/$I108*100,0))</f>
        <v>0</v>
      </c>
      <c r="K108" s="124">
        <f t="shared" ca="1" si="17"/>
        <v>0</v>
      </c>
      <c r="L108" s="379">
        <f ca="1">IF($A108="S",IF(CAIXA.Modo,BM.AFAcumulado,BM.MEDAcumulado),IF(AND(RegimeExecucao="Global",$I108&gt;0,COUNTIF($AB$13:$AM$13,BM.medicao)&gt;0),O108/$I108*100,0))</f>
        <v>0</v>
      </c>
      <c r="M108" s="380">
        <f ca="1">IF($A108="S",VTOTALBM,IF($A108=0,0,ROUND(SomaAgrupBM,15-13*ORÇAMENTO!$AF$11)))</f>
        <v>0</v>
      </c>
      <c r="N108" s="381">
        <f t="shared" ca="1" si="18"/>
        <v>0</v>
      </c>
      <c r="O108" s="127">
        <f ca="1">IF($A108="S",VTOTALBM,IF($A108=0,0,ROUND(SomaAgrupBM,15-13*ORÇAMENTO!$AF$11)))</f>
        <v>0</v>
      </c>
      <c r="Q108" s="382"/>
      <c r="R108" s="383"/>
      <c r="T108" s="119" t="str">
        <f t="shared" ca="1" si="19"/>
        <v/>
      </c>
      <c r="U108" s="172" t="str">
        <f t="shared" ca="1" si="20"/>
        <v/>
      </c>
      <c r="V108" s="173" t="str">
        <f ca="1">IF(AND($W108&gt;0,RegimeExecucao="Unitário"),$F108,"")</f>
        <v/>
      </c>
      <c r="W108" s="547">
        <f ca="1">IF($Y108&gt;0,CHOOSE(MATCH(RegimeExecucao,{"Unitário","Global"},0),IF($A108="S",$Y108/$X108,""),($Y108/$X108)*100),0)</f>
        <v>0</v>
      </c>
      <c r="X108" s="384" t="str">
        <f ca="1">IF($Y108&gt;0,CHOOSE(MATCH(RegimeExecucao,{"Unitário","Global"},0),IF($A108="S",ROUND($H108,ORÇAMENTO!$AF$10),""),ROUND($I108,ORÇAMENTO!$AF$11)),"")</f>
        <v/>
      </c>
      <c r="Y108" s="384">
        <f t="shared" ca="1" si="21"/>
        <v>0</v>
      </c>
      <c r="Z108" s="572"/>
      <c r="AB108" s="382"/>
      <c r="AC108" s="516"/>
      <c r="AD108" s="516"/>
      <c r="AE108" s="516"/>
      <c r="AF108" s="516"/>
      <c r="AG108" s="516"/>
      <c r="AH108" s="516"/>
      <c r="AI108" s="516"/>
      <c r="AJ108" s="516"/>
      <c r="AK108" s="516"/>
      <c r="AL108" s="516"/>
      <c r="AM108" s="383"/>
      <c r="AO108">
        <f ca="1">IF($A108="S",IF(BM!$I108=0,0,CHOOSE(MATCH(RegimeExecucao,{"Global","Unitário"},0),ROUND(ROUND(BM.MEDAcumulado,15-13*BM!$A$9)/100*BM!$I108,15-13*ORÇAMENTO!$AF$11),ROUND(ROUND(BM.MEDAcumulado,15-13*BM!$A$9)*ROUND(BM!$H108,15-13*ORÇAMENTO!$AF$10),15-13*ORÇAMENTO!$AF$11))),IF($A108=0,0,ROUND(SomaAgrupBM,15-13*ORÇAMENTO!$AF$11)))</f>
        <v>0</v>
      </c>
    </row>
    <row r="109" spans="1:41" s="577" customFormat="1" ht="38.25" x14ac:dyDescent="0.2">
      <c r="A109" s="577" t="str">
        <f ca="1">ORÇAMENTO!C109</f>
        <v>S</v>
      </c>
      <c r="B109" s="577">
        <f ca="1">ORÇAMENTO!D109</f>
        <v>0</v>
      </c>
      <c r="C109" s="116" t="str">
        <f ca="1">IF(OR($I109&gt;0,$A109=1,$A109=2,$A109=3,$A109=4),"F","")</f>
        <v>F</v>
      </c>
      <c r="D109" s="119" t="str">
        <f ca="1">ORÇAMENTO!O109</f>
        <v>3.4.5.</v>
      </c>
      <c r="E109" s="172" t="str">
        <f ca="1">ORÇAMENTO.Descricao</f>
        <v>Carga, manobra e descarga de concreto asfáltico com borracha em caminhão basculante de 10 m³ - carga em usina de asfalto 100/140 t/h e descarga em vibroacabadora</v>
      </c>
      <c r="F109" s="173" t="str">
        <f ca="1">IF(RegimeExecucao="Global","",ORÇAMENTO.Unidade)</f>
        <v/>
      </c>
      <c r="G109" s="124" t="str">
        <f ca="1">IF(RegimeExecucao="Global","",ORÇAMENTO!T109)</f>
        <v/>
      </c>
      <c r="H109" s="124" t="str">
        <f ca="1">IF(RegimeExecucao="Global","",ORÇAMENTO!W109)</f>
        <v/>
      </c>
      <c r="I109" s="127">
        <f ca="1">ORÇAMENTO!X109</f>
        <v>4394.6499999999996</v>
      </c>
      <c r="J109" s="378">
        <f ca="1">IF($A109="S",IF(CAIXA.Modo,BM.AFAnterior,BM.MEDAnterior),IF(AND(RegimeExecucao="Global",$I109&gt;0,COUNTIF($AB$13:$AM$13,BM.medicao-1)&gt;0),M109/$I109*100,0))</f>
        <v>0</v>
      </c>
      <c r="K109" s="124">
        <f ca="1">L109-J109</f>
        <v>0</v>
      </c>
      <c r="L109" s="379">
        <f ca="1">IF($A109="S",IF(CAIXA.Modo,BM.AFAcumulado,BM.MEDAcumulado),IF(AND(RegimeExecucao="Global",$I109&gt;0,COUNTIF($AB$13:$AM$13,BM.medicao)&gt;0),O109/$I109*100,0))</f>
        <v>0</v>
      </c>
      <c r="M109" s="380">
        <f ca="1">IF($A109="S",VTOTALBM,IF($A109=0,0,ROUND(SomaAgrupBM,15-13*ORÇAMENTO!$AF$11)))</f>
        <v>0</v>
      </c>
      <c r="N109" s="381">
        <f ca="1">O109-M109</f>
        <v>0</v>
      </c>
      <c r="O109" s="127">
        <f ca="1">IF($A109="S",VTOTALBM,IF($A109=0,0,ROUND(SomaAgrupBM,15-13*ORÇAMENTO!$AF$11)))</f>
        <v>0</v>
      </c>
      <c r="Q109" s="382"/>
      <c r="R109" s="383"/>
      <c r="T109" s="119" t="str">
        <f ca="1">IF($W109&gt;0,$D109,"")</f>
        <v/>
      </c>
      <c r="U109" s="172" t="str">
        <f ca="1">IF($W109&gt;0,$E109,"")</f>
        <v/>
      </c>
      <c r="V109" s="173" t="str">
        <f ca="1">IF(AND($W109&gt;0,RegimeExecucao="Unitário"),$F109,"")</f>
        <v/>
      </c>
      <c r="W109" s="547">
        <f ca="1">IF($Y109&gt;0,CHOOSE(MATCH(RegimeExecucao,{"Unitário","Global"},0),IF($A109="S",$Y109/$X109,""),($Y109/$X109)*100),0)</f>
        <v>0</v>
      </c>
      <c r="X109" s="384" t="str">
        <f ca="1">IF($Y109&gt;0,CHOOSE(MATCH(RegimeExecucao,{"Unitário","Global"},0),IF($A109="S",ROUND($H109,ORÇAMENTO!$AF$10),""),ROUND($I109,ORÇAMENTO!$AF$11)),"")</f>
        <v/>
      </c>
      <c r="Y109" s="384">
        <f ca="1">AO109-O109</f>
        <v>0</v>
      </c>
      <c r="Z109" s="572"/>
      <c r="AB109" s="382"/>
      <c r="AC109" s="516"/>
      <c r="AD109" s="516"/>
      <c r="AE109" s="516"/>
      <c r="AF109" s="516"/>
      <c r="AG109" s="516"/>
      <c r="AH109" s="516"/>
      <c r="AI109" s="516"/>
      <c r="AJ109" s="516"/>
      <c r="AK109" s="516"/>
      <c r="AL109" s="516"/>
      <c r="AM109" s="383"/>
      <c r="AO109" s="577">
        <f ca="1">IF($A109="S",IF(BM!$I109=0,0,CHOOSE(MATCH(RegimeExecucao,{"Global","Unitário"},0),ROUND(ROUND(BM.MEDAcumulado,15-13*BM!$A$9)/100*BM!$I109,15-13*ORÇAMENTO!$AF$11),ROUND(ROUND(BM.MEDAcumulado,15-13*BM!$A$9)*ROUND(BM!$H109,15-13*ORÇAMENTO!$AF$10),15-13*ORÇAMENTO!$AF$11))),IF($A109=0,0,ROUND(SomaAgrupBM,15-13*ORÇAMENTO!$AF$11)))</f>
        <v>0</v>
      </c>
    </row>
    <row r="110" spans="1:41" s="577" customFormat="1" ht="25.5" x14ac:dyDescent="0.2">
      <c r="A110" s="577" t="str">
        <f ca="1">ORÇAMENTO!C110</f>
        <v>S</v>
      </c>
      <c r="B110" s="577">
        <f ca="1">ORÇAMENTO!D110</f>
        <v>0</v>
      </c>
      <c r="C110" s="116" t="str">
        <f t="shared" ca="1" si="15"/>
        <v>F</v>
      </c>
      <c r="D110" s="119" t="str">
        <f ca="1">ORÇAMENTO!O110</f>
        <v>3.4.6.</v>
      </c>
      <c r="E110" s="172" t="str">
        <f t="shared" ca="1" si="16"/>
        <v xml:space="preserve">CIMENTO ASFÁLTICO CAP 50/70 (Base de preço: ANP CAP 50/70 + ICMS (17%) + PIS (0,65%) + COFINS (3%) </v>
      </c>
      <c r="F110" s="173" t="str">
        <f ca="1">IF(RegimeExecucao="Global","",ORÇAMENTO.Unidade)</f>
        <v/>
      </c>
      <c r="G110" s="124" t="str">
        <f ca="1">IF(RegimeExecucao="Global","",ORÇAMENTO!T110)</f>
        <v/>
      </c>
      <c r="H110" s="124" t="str">
        <f ca="1">IF(RegimeExecucao="Global","",ORÇAMENTO!W110)</f>
        <v/>
      </c>
      <c r="I110" s="127">
        <f ca="1">ORÇAMENTO!X110</f>
        <v>115972.21</v>
      </c>
      <c r="J110" s="378">
        <f ca="1">IF($A110="S",IF(CAIXA.Modo,BM.AFAnterior,BM.MEDAnterior),IF(AND(RegimeExecucao="Global",$I110&gt;0,COUNTIF($AB$13:$AM$13,BM.medicao-1)&gt;0),M110/$I110*100,0))</f>
        <v>0</v>
      </c>
      <c r="K110" s="124">
        <f t="shared" ca="1" si="17"/>
        <v>0</v>
      </c>
      <c r="L110" s="379">
        <f ca="1">IF($A110="S",IF(CAIXA.Modo,BM.AFAcumulado,BM.MEDAcumulado),IF(AND(RegimeExecucao="Global",$I110&gt;0,COUNTIF($AB$13:$AM$13,BM.medicao)&gt;0),O110/$I110*100,0))</f>
        <v>0</v>
      </c>
      <c r="M110" s="380">
        <f ca="1">IF($A110="S",VTOTALBM,IF($A110=0,0,ROUND(SomaAgrupBM,15-13*ORÇAMENTO!$AF$11)))</f>
        <v>0</v>
      </c>
      <c r="N110" s="381">
        <f t="shared" ca="1" si="18"/>
        <v>0</v>
      </c>
      <c r="O110" s="127">
        <f ca="1">IF($A110="S",VTOTALBM,IF($A110=0,0,ROUND(SomaAgrupBM,15-13*ORÇAMENTO!$AF$11)))</f>
        <v>0</v>
      </c>
      <c r="Q110" s="382"/>
      <c r="R110" s="383"/>
      <c r="T110" s="119" t="str">
        <f t="shared" ca="1" si="19"/>
        <v/>
      </c>
      <c r="U110" s="172" t="str">
        <f t="shared" ca="1" si="20"/>
        <v/>
      </c>
      <c r="V110" s="173" t="str">
        <f ca="1">IF(AND($W110&gt;0,RegimeExecucao="Unitário"),$F110,"")</f>
        <v/>
      </c>
      <c r="W110" s="547">
        <f ca="1">IF($Y110&gt;0,CHOOSE(MATCH(RegimeExecucao,{"Unitário","Global"},0),IF($A110="S",$Y110/$X110,""),($Y110/$X110)*100),0)</f>
        <v>0</v>
      </c>
      <c r="X110" s="384" t="str">
        <f ca="1">IF($Y110&gt;0,CHOOSE(MATCH(RegimeExecucao,{"Unitário","Global"},0),IF($A110="S",ROUND($H110,ORÇAMENTO!$AF$10),""),ROUND($I110,ORÇAMENTO!$AF$11)),"")</f>
        <v/>
      </c>
      <c r="Y110" s="384">
        <f t="shared" ca="1" si="21"/>
        <v>0</v>
      </c>
      <c r="Z110" s="572"/>
      <c r="AB110" s="382"/>
      <c r="AC110" s="516"/>
      <c r="AD110" s="516"/>
      <c r="AE110" s="516"/>
      <c r="AF110" s="516"/>
      <c r="AG110" s="516"/>
      <c r="AH110" s="516"/>
      <c r="AI110" s="516"/>
      <c r="AJ110" s="516"/>
      <c r="AK110" s="516"/>
      <c r="AL110" s="516"/>
      <c r="AM110" s="383"/>
      <c r="AO110" s="577">
        <f ca="1">IF($A110="S",IF(BM!$I110=0,0,CHOOSE(MATCH(RegimeExecucao,{"Global","Unitário"},0),ROUND(ROUND(BM.MEDAcumulado,15-13*BM!$A$9)/100*BM!$I110,15-13*ORÇAMENTO!$AF$11),ROUND(ROUND(BM.MEDAcumulado,15-13*BM!$A$9)*ROUND(BM!$H110,15-13*ORÇAMENTO!$AF$10),15-13*ORÇAMENTO!$AF$11))),IF($A110=0,0,ROUND(SomaAgrupBM,15-13*ORÇAMENTO!$AF$11)))</f>
        <v>0</v>
      </c>
    </row>
    <row r="111" spans="1:41" s="577" customFormat="1" ht="25.5" x14ac:dyDescent="0.2">
      <c r="A111" s="577" t="str">
        <f ca="1">ORÇAMENTO!C111</f>
        <v>S</v>
      </c>
      <c r="B111" s="577">
        <f ca="1">ORÇAMENTO!D111</f>
        <v>0</v>
      </c>
      <c r="C111" s="116" t="str">
        <f t="shared" ca="1" si="15"/>
        <v>F</v>
      </c>
      <c r="D111" s="119" t="str">
        <f ca="1">ORÇAMENTO!O111</f>
        <v>3.4.7.</v>
      </c>
      <c r="E111" s="172" t="str">
        <f t="shared" ca="1" si="16"/>
        <v xml:space="preserve">EMULSÃO ASFÁLTICA RR-2C ( Base de preço: ANP EMULSÃO RR-2C + ICMS (17%) + PIS (0,65%) + COFINS (3%) </v>
      </c>
      <c r="F111" s="173" t="str">
        <f ca="1">IF(RegimeExecucao="Global","",ORÇAMENTO.Unidade)</f>
        <v/>
      </c>
      <c r="G111" s="124" t="str">
        <f ca="1">IF(RegimeExecucao="Global","",ORÇAMENTO!T111)</f>
        <v/>
      </c>
      <c r="H111" s="124" t="str">
        <f ca="1">IF(RegimeExecucao="Global","",ORÇAMENTO!W111)</f>
        <v/>
      </c>
      <c r="I111" s="127">
        <f ca="1">ORÇAMENTO!X111</f>
        <v>9789.4699999999993</v>
      </c>
      <c r="J111" s="378">
        <f ca="1">IF($A111="S",IF(CAIXA.Modo,BM.AFAnterior,BM.MEDAnterior),IF(AND(RegimeExecucao="Global",$I111&gt;0,COUNTIF($AB$13:$AM$13,BM.medicao-1)&gt;0),M111/$I111*100,0))</f>
        <v>0</v>
      </c>
      <c r="K111" s="124">
        <f t="shared" ca="1" si="17"/>
        <v>0</v>
      </c>
      <c r="L111" s="379">
        <f ca="1">IF($A111="S",IF(CAIXA.Modo,BM.AFAcumulado,BM.MEDAcumulado),IF(AND(RegimeExecucao="Global",$I111&gt;0,COUNTIF($AB$13:$AM$13,BM.medicao)&gt;0),O111/$I111*100,0))</f>
        <v>0</v>
      </c>
      <c r="M111" s="380">
        <f ca="1">IF($A111="S",VTOTALBM,IF($A111=0,0,ROUND(SomaAgrupBM,15-13*ORÇAMENTO!$AF$11)))</f>
        <v>0</v>
      </c>
      <c r="N111" s="381">
        <f t="shared" ca="1" si="18"/>
        <v>0</v>
      </c>
      <c r="O111" s="127">
        <f ca="1">IF($A111="S",VTOTALBM,IF($A111=0,0,ROUND(SomaAgrupBM,15-13*ORÇAMENTO!$AF$11)))</f>
        <v>0</v>
      </c>
      <c r="Q111" s="382"/>
      <c r="R111" s="383"/>
      <c r="T111" s="119" t="str">
        <f t="shared" ca="1" si="19"/>
        <v/>
      </c>
      <c r="U111" s="172" t="str">
        <f t="shared" ca="1" si="20"/>
        <v/>
      </c>
      <c r="V111" s="173" t="str">
        <f ca="1">IF(AND($W111&gt;0,RegimeExecucao="Unitário"),$F111,"")</f>
        <v/>
      </c>
      <c r="W111" s="547">
        <f ca="1">IF($Y111&gt;0,CHOOSE(MATCH(RegimeExecucao,{"Unitário","Global"},0),IF($A111="S",$Y111/$X111,""),($Y111/$X111)*100),0)</f>
        <v>0</v>
      </c>
      <c r="X111" s="384" t="str">
        <f ca="1">IF($Y111&gt;0,CHOOSE(MATCH(RegimeExecucao,{"Unitário","Global"},0),IF($A111="S",ROUND($H111,ORÇAMENTO!$AF$10),""),ROUND($I111,ORÇAMENTO!$AF$11)),"")</f>
        <v/>
      </c>
      <c r="Y111" s="384">
        <f t="shared" ca="1" si="21"/>
        <v>0</v>
      </c>
      <c r="Z111" s="572"/>
      <c r="AB111" s="382"/>
      <c r="AC111" s="516"/>
      <c r="AD111" s="516"/>
      <c r="AE111" s="516"/>
      <c r="AF111" s="516"/>
      <c r="AG111" s="516"/>
      <c r="AH111" s="516"/>
      <c r="AI111" s="516"/>
      <c r="AJ111" s="516"/>
      <c r="AK111" s="516"/>
      <c r="AL111" s="516"/>
      <c r="AM111" s="383"/>
      <c r="AO111" s="577">
        <f ca="1">IF($A111="S",IF(BM!$I111=0,0,CHOOSE(MATCH(RegimeExecucao,{"Global","Unitário"},0),ROUND(ROUND(BM.MEDAcumulado,15-13*BM!$A$9)/100*BM!$I111,15-13*ORÇAMENTO!$AF$11),ROUND(ROUND(BM.MEDAcumulado,15-13*BM!$A$9)*ROUND(BM!$H111,15-13*ORÇAMENTO!$AF$10),15-13*ORÇAMENTO!$AF$11))),IF($A111=0,0,ROUND(SomaAgrupBM,15-13*ORÇAMENTO!$AF$11)))</f>
        <v>0</v>
      </c>
    </row>
    <row r="112" spans="1:41" s="577" customFormat="1" ht="25.5" x14ac:dyDescent="0.2">
      <c r="A112" s="577" t="str">
        <f ca="1">ORÇAMENTO!C112</f>
        <v>S</v>
      </c>
      <c r="B112" s="577">
        <f ca="1">ORÇAMENTO!D112</f>
        <v>0</v>
      </c>
      <c r="C112" s="116" t="str">
        <f t="shared" ca="1" si="15"/>
        <v>F</v>
      </c>
      <c r="D112" s="119" t="str">
        <f ca="1">ORÇAMENTO!O112</f>
        <v>3.4.8.</v>
      </c>
      <c r="E112" s="172" t="str">
        <f t="shared" ca="1" si="16"/>
        <v>Transporte de material betuminoso com caminhão tanque distribuidor - rodovia pavimentada</v>
      </c>
      <c r="F112" s="173" t="str">
        <f ca="1">IF(RegimeExecucao="Global","",ORÇAMENTO.Unidade)</f>
        <v/>
      </c>
      <c r="G112" s="124" t="str">
        <f ca="1">IF(RegimeExecucao="Global","",ORÇAMENTO!T112)</f>
        <v/>
      </c>
      <c r="H112" s="124" t="str">
        <f ca="1">IF(RegimeExecucao="Global","",ORÇAMENTO!W112)</f>
        <v/>
      </c>
      <c r="I112" s="127">
        <f ca="1">ORÇAMENTO!X112</f>
        <v>29290.32</v>
      </c>
      <c r="J112" s="378">
        <f ca="1">IF($A112="S",IF(CAIXA.Modo,BM.AFAnterior,BM.MEDAnterior),IF(AND(RegimeExecucao="Global",$I112&gt;0,COUNTIF($AB$13:$AM$13,BM.medicao-1)&gt;0),M112/$I112*100,0))</f>
        <v>0</v>
      </c>
      <c r="K112" s="124">
        <f t="shared" ca="1" si="17"/>
        <v>0</v>
      </c>
      <c r="L112" s="379">
        <f ca="1">IF($A112="S",IF(CAIXA.Modo,BM.AFAcumulado,BM.MEDAcumulado),IF(AND(RegimeExecucao="Global",$I112&gt;0,COUNTIF($AB$13:$AM$13,BM.medicao)&gt;0),O112/$I112*100,0))</f>
        <v>0</v>
      </c>
      <c r="M112" s="380">
        <f ca="1">IF($A112="S",VTOTALBM,IF($A112=0,0,ROUND(SomaAgrupBM,15-13*ORÇAMENTO!$AF$11)))</f>
        <v>0</v>
      </c>
      <c r="N112" s="381">
        <f t="shared" ca="1" si="18"/>
        <v>0</v>
      </c>
      <c r="O112" s="127">
        <f ca="1">IF($A112="S",VTOTALBM,IF($A112=0,0,ROUND(SomaAgrupBM,15-13*ORÇAMENTO!$AF$11)))</f>
        <v>0</v>
      </c>
      <c r="Q112" s="382"/>
      <c r="R112" s="383"/>
      <c r="T112" s="119" t="str">
        <f t="shared" ca="1" si="19"/>
        <v/>
      </c>
      <c r="U112" s="172" t="str">
        <f t="shared" ca="1" si="20"/>
        <v/>
      </c>
      <c r="V112" s="173" t="str">
        <f ca="1">IF(AND($W112&gt;0,RegimeExecucao="Unitário"),$F112,"")</f>
        <v/>
      </c>
      <c r="W112" s="547">
        <f ca="1">IF($Y112&gt;0,CHOOSE(MATCH(RegimeExecucao,{"Unitário","Global"},0),IF($A112="S",$Y112/$X112,""),($Y112/$X112)*100),0)</f>
        <v>0</v>
      </c>
      <c r="X112" s="384" t="str">
        <f ca="1">IF($Y112&gt;0,CHOOSE(MATCH(RegimeExecucao,{"Unitário","Global"},0),IF($A112="S",ROUND($H112,ORÇAMENTO!$AF$10),""),ROUND($I112,ORÇAMENTO!$AF$11)),"")</f>
        <v/>
      </c>
      <c r="Y112" s="384">
        <f t="shared" ca="1" si="21"/>
        <v>0</v>
      </c>
      <c r="Z112" s="572"/>
      <c r="AB112" s="382"/>
      <c r="AC112" s="516"/>
      <c r="AD112" s="516"/>
      <c r="AE112" s="516"/>
      <c r="AF112" s="516"/>
      <c r="AG112" s="516"/>
      <c r="AH112" s="516"/>
      <c r="AI112" s="516"/>
      <c r="AJ112" s="516"/>
      <c r="AK112" s="516"/>
      <c r="AL112" s="516"/>
      <c r="AM112" s="383"/>
      <c r="AO112" s="577">
        <f ca="1">IF($A112="S",IF(BM!$I112=0,0,CHOOSE(MATCH(RegimeExecucao,{"Global","Unitário"},0),ROUND(ROUND(BM.MEDAcumulado,15-13*BM!$A$9)/100*BM!$I112,15-13*ORÇAMENTO!$AF$11),ROUND(ROUND(BM.MEDAcumulado,15-13*BM!$A$9)*ROUND(BM!$H112,15-13*ORÇAMENTO!$AF$10),15-13*ORÇAMENTO!$AF$11))),IF($A112=0,0,ROUND(SomaAgrupBM,15-13*ORÇAMENTO!$AF$11)))</f>
        <v>0</v>
      </c>
    </row>
    <row r="113" spans="1:41" x14ac:dyDescent="0.2">
      <c r="A113">
        <f ca="1">ORÇAMENTO!C113</f>
        <v>2</v>
      </c>
      <c r="B113">
        <f ca="1">ORÇAMENTO!D113</f>
        <v>6</v>
      </c>
      <c r="C113" s="116" t="str">
        <f t="shared" ca="1" si="15"/>
        <v>F</v>
      </c>
      <c r="D113" s="119" t="str">
        <f ca="1">ORÇAMENTO!O113</f>
        <v>3.5.</v>
      </c>
      <c r="E113" s="172" t="str">
        <f t="shared" si="16"/>
        <v>SINALIZAÇÃO</v>
      </c>
      <c r="F113" s="173" t="str">
        <f ca="1">IF(RegimeExecucao="Global","",ORÇAMENTO.Unidade)</f>
        <v/>
      </c>
      <c r="G113" s="124" t="str">
        <f ca="1">IF(RegimeExecucao="Global","",ORÇAMENTO!T113)</f>
        <v/>
      </c>
      <c r="H113" s="124" t="str">
        <f ca="1">IF(RegimeExecucao="Global","",ORÇAMENTO!W113)</f>
        <v/>
      </c>
      <c r="I113" s="127">
        <f ca="1">ORÇAMENTO!X113</f>
        <v>9427.4699999999993</v>
      </c>
      <c r="J113" s="378">
        <f ca="1">IF($A113="S",IF(CAIXA.Modo,BM.AFAnterior,BM.MEDAnterior),IF(AND(RegimeExecucao="Global",$I113&gt;0,COUNTIF($AB$13:$AM$13,BM.medicao-1)&gt;0),M113/$I113*100,0))</f>
        <v>0</v>
      </c>
      <c r="K113" s="124">
        <f t="shared" ca="1" si="17"/>
        <v>0</v>
      </c>
      <c r="L113" s="379">
        <f ca="1">IF($A113="S",IF(CAIXA.Modo,BM.AFAcumulado,BM.MEDAcumulado),IF(AND(RegimeExecucao="Global",$I113&gt;0,COUNTIF($AB$13:$AM$13,BM.medicao)&gt;0),O113/$I113*100,0))</f>
        <v>0</v>
      </c>
      <c r="M113" s="380">
        <f ca="1">IF($A113="S",VTOTALBM,IF($A113=0,0,ROUND(SomaAgrupBM,15-13*ORÇAMENTO!$AF$11)))</f>
        <v>0</v>
      </c>
      <c r="N113" s="381">
        <f t="shared" ca="1" si="18"/>
        <v>0</v>
      </c>
      <c r="O113" s="127">
        <f ca="1">IF($A113="S",VTOTALBM,IF($A113=0,0,ROUND(SomaAgrupBM,15-13*ORÇAMENTO!$AF$11)))</f>
        <v>0</v>
      </c>
      <c r="Q113" s="382"/>
      <c r="R113" s="383"/>
      <c r="T113" s="119" t="str">
        <f t="shared" ca="1" si="19"/>
        <v/>
      </c>
      <c r="U113" s="172" t="str">
        <f t="shared" ca="1" si="20"/>
        <v/>
      </c>
      <c r="V113" s="173" t="str">
        <f ca="1">IF(AND($W113&gt;0,RegimeExecucao="Unitário"),$F113,"")</f>
        <v/>
      </c>
      <c r="W113" s="547">
        <f ca="1">IF($Y113&gt;0,CHOOSE(MATCH(RegimeExecucao,{"Unitário","Global"},0),IF($A113="S",$Y113/$X113,""),($Y113/$X113)*100),0)</f>
        <v>0</v>
      </c>
      <c r="X113" s="384" t="str">
        <f ca="1">IF($Y113&gt;0,CHOOSE(MATCH(RegimeExecucao,{"Unitário","Global"},0),IF($A113="S",ROUND($H113,ORÇAMENTO!$AF$10),""),ROUND($I113,ORÇAMENTO!$AF$11)),"")</f>
        <v/>
      </c>
      <c r="Y113" s="384">
        <f t="shared" ca="1" si="21"/>
        <v>0</v>
      </c>
      <c r="Z113" s="572"/>
      <c r="AB113" s="382"/>
      <c r="AC113" s="516"/>
      <c r="AD113" s="516"/>
      <c r="AE113" s="516"/>
      <c r="AF113" s="516"/>
      <c r="AG113" s="516"/>
      <c r="AH113" s="516"/>
      <c r="AI113" s="516"/>
      <c r="AJ113" s="516"/>
      <c r="AK113" s="516"/>
      <c r="AL113" s="516"/>
      <c r="AM113" s="383"/>
      <c r="AO113">
        <f ca="1">IF($A113="S",IF(BM!$I113=0,0,CHOOSE(MATCH(RegimeExecucao,{"Global","Unitário"},0),ROUND(ROUND(BM.MEDAcumulado,15-13*BM!$A$9)/100*BM!$I113,15-13*ORÇAMENTO!$AF$11),ROUND(ROUND(BM.MEDAcumulado,15-13*BM!$A$9)*ROUND(BM!$H113,15-13*ORÇAMENTO!$AF$10),15-13*ORÇAMENTO!$AF$11))),IF($A113=0,0,ROUND(SomaAgrupBM,15-13*ORÇAMENTO!$AF$11)))</f>
        <v>0</v>
      </c>
    </row>
    <row r="114" spans="1:41" ht="25.5" x14ac:dyDescent="0.2">
      <c r="A114" t="str">
        <f ca="1">ORÇAMENTO!C114</f>
        <v>S</v>
      </c>
      <c r="B114">
        <f ca="1">ORÇAMENTO!D114</f>
        <v>0</v>
      </c>
      <c r="C114" s="116" t="str">
        <f t="shared" ca="1" si="15"/>
        <v>F</v>
      </c>
      <c r="D114" s="119" t="str">
        <f ca="1">ORÇAMENTO!O114</f>
        <v>3.5.1.</v>
      </c>
      <c r="E114" s="172" t="str">
        <f t="shared" ca="1" si="16"/>
        <v>Placa de advertência em aço, lado de 0,60 m - película retrorrefletiva tipo I + SI - fornecimento e implantação</v>
      </c>
      <c r="F114" s="173" t="str">
        <f ca="1">IF(RegimeExecucao="Global","",ORÇAMENTO.Unidade)</f>
        <v/>
      </c>
      <c r="G114" s="124" t="str">
        <f ca="1">IF(RegimeExecucao="Global","",ORÇAMENTO!T114)</f>
        <v/>
      </c>
      <c r="H114" s="124" t="str">
        <f ca="1">IF(RegimeExecucao="Global","",ORÇAMENTO!W114)</f>
        <v/>
      </c>
      <c r="I114" s="127">
        <f ca="1">ORÇAMENTO!X114</f>
        <v>709.04</v>
      </c>
      <c r="J114" s="378">
        <f ca="1">IF($A114="S",IF(CAIXA.Modo,BM.AFAnterior,BM.MEDAnterior),IF(AND(RegimeExecucao="Global",$I114&gt;0,COUNTIF($AB$13:$AM$13,BM.medicao-1)&gt;0),M114/$I114*100,0))</f>
        <v>0</v>
      </c>
      <c r="K114" s="124">
        <f t="shared" ca="1" si="17"/>
        <v>0</v>
      </c>
      <c r="L114" s="379">
        <f ca="1">IF($A114="S",IF(CAIXA.Modo,BM.AFAcumulado,BM.MEDAcumulado),IF(AND(RegimeExecucao="Global",$I114&gt;0,COUNTIF($AB$13:$AM$13,BM.medicao)&gt;0),O114/$I114*100,0))</f>
        <v>0</v>
      </c>
      <c r="M114" s="380">
        <f ca="1">IF($A114="S",VTOTALBM,IF($A114=0,0,ROUND(SomaAgrupBM,15-13*ORÇAMENTO!$AF$11)))</f>
        <v>0</v>
      </c>
      <c r="N114" s="381">
        <f t="shared" ca="1" si="18"/>
        <v>0</v>
      </c>
      <c r="O114" s="127">
        <f ca="1">IF($A114="S",VTOTALBM,IF($A114=0,0,ROUND(SomaAgrupBM,15-13*ORÇAMENTO!$AF$11)))</f>
        <v>0</v>
      </c>
      <c r="Q114" s="382"/>
      <c r="R114" s="383"/>
      <c r="T114" s="119" t="str">
        <f t="shared" ca="1" si="19"/>
        <v/>
      </c>
      <c r="U114" s="172" t="str">
        <f t="shared" ca="1" si="20"/>
        <v/>
      </c>
      <c r="V114" s="173" t="str">
        <f ca="1">IF(AND($W114&gt;0,RegimeExecucao="Unitário"),$F114,"")</f>
        <v/>
      </c>
      <c r="W114" s="547">
        <f ca="1">IF($Y114&gt;0,CHOOSE(MATCH(RegimeExecucao,{"Unitário","Global"},0),IF($A114="S",$Y114/$X114,""),($Y114/$X114)*100),0)</f>
        <v>0</v>
      </c>
      <c r="X114" s="384" t="str">
        <f ca="1">IF($Y114&gt;0,CHOOSE(MATCH(RegimeExecucao,{"Unitário","Global"},0),IF($A114="S",ROUND($H114,ORÇAMENTO!$AF$10),""),ROUND($I114,ORÇAMENTO!$AF$11)),"")</f>
        <v/>
      </c>
      <c r="Y114" s="384">
        <f t="shared" ca="1" si="21"/>
        <v>0</v>
      </c>
      <c r="Z114" s="572"/>
      <c r="AB114" s="382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383"/>
      <c r="AO114">
        <f ca="1">IF($A114="S",IF(BM!$I114=0,0,CHOOSE(MATCH(RegimeExecucao,{"Global","Unitário"},0),ROUND(ROUND(BM.MEDAcumulado,15-13*BM!$A$9)/100*BM!$I114,15-13*ORÇAMENTO!$AF$11),ROUND(ROUND(BM.MEDAcumulado,15-13*BM!$A$9)*ROUND(BM!$H114,15-13*ORÇAMENTO!$AF$10),15-13*ORÇAMENTO!$AF$11))),IF($A114=0,0,ROUND(SomaAgrupBM,15-13*ORÇAMENTO!$AF$11)))</f>
        <v>0</v>
      </c>
    </row>
    <row r="115" spans="1:41" ht="25.5" x14ac:dyDescent="0.2">
      <c r="A115" t="str">
        <f ca="1">ORÇAMENTO!C115</f>
        <v>S</v>
      </c>
      <c r="B115">
        <f ca="1">ORÇAMENTO!D115</f>
        <v>0</v>
      </c>
      <c r="C115" s="116" t="str">
        <f t="shared" ca="1" si="15"/>
        <v>F</v>
      </c>
      <c r="D115" s="119" t="str">
        <f ca="1">ORÇAMENTO!O115</f>
        <v>3.5.2.</v>
      </c>
      <c r="E115" s="172" t="str">
        <f t="shared" ca="1" si="16"/>
        <v>Placa de advertência em aço, lado de 0,80 m - película retrorrefletiva tipo I + SI - fornecimento e implantação</v>
      </c>
      <c r="F115" s="173" t="str">
        <f ca="1">IF(RegimeExecucao="Global","",ORÇAMENTO.Unidade)</f>
        <v/>
      </c>
      <c r="G115" s="124" t="str">
        <f ca="1">IF(RegimeExecucao="Global","",ORÇAMENTO!T115)</f>
        <v/>
      </c>
      <c r="H115" s="124" t="str">
        <f ca="1">IF(RegimeExecucao="Global","",ORÇAMENTO!W115)</f>
        <v/>
      </c>
      <c r="I115" s="127">
        <f ca="1">ORÇAMENTO!X115</f>
        <v>2426.48</v>
      </c>
      <c r="J115" s="378">
        <f ca="1">IF($A115="S",IF(CAIXA.Modo,BM.AFAnterior,BM.MEDAnterior),IF(AND(RegimeExecucao="Global",$I115&gt;0,COUNTIF($AB$13:$AM$13,BM.medicao-1)&gt;0),M115/$I115*100,0))</f>
        <v>0</v>
      </c>
      <c r="K115" s="124">
        <f t="shared" ca="1" si="17"/>
        <v>0</v>
      </c>
      <c r="L115" s="379">
        <f ca="1">IF($A115="S",IF(CAIXA.Modo,BM.AFAcumulado,BM.MEDAcumulado),IF(AND(RegimeExecucao="Global",$I115&gt;0,COUNTIF($AB$13:$AM$13,BM.medicao)&gt;0),O115/$I115*100,0))</f>
        <v>0</v>
      </c>
      <c r="M115" s="380">
        <f ca="1">IF($A115="S",VTOTALBM,IF($A115=0,0,ROUND(SomaAgrupBM,15-13*ORÇAMENTO!$AF$11)))</f>
        <v>0</v>
      </c>
      <c r="N115" s="381">
        <f t="shared" ca="1" si="18"/>
        <v>0</v>
      </c>
      <c r="O115" s="127">
        <f ca="1">IF($A115="S",VTOTALBM,IF($A115=0,0,ROUND(SomaAgrupBM,15-13*ORÇAMENTO!$AF$11)))</f>
        <v>0</v>
      </c>
      <c r="Q115" s="382"/>
      <c r="R115" s="383"/>
      <c r="T115" s="119" t="str">
        <f t="shared" ca="1" si="19"/>
        <v/>
      </c>
      <c r="U115" s="172" t="str">
        <f t="shared" ca="1" si="20"/>
        <v/>
      </c>
      <c r="V115" s="173" t="str">
        <f ca="1">IF(AND($W115&gt;0,RegimeExecucao="Unitário"),$F115,"")</f>
        <v/>
      </c>
      <c r="W115" s="547">
        <f ca="1">IF($Y115&gt;0,CHOOSE(MATCH(RegimeExecucao,{"Unitário","Global"},0),IF($A115="S",$Y115/$X115,""),($Y115/$X115)*100),0)</f>
        <v>0</v>
      </c>
      <c r="X115" s="384" t="str">
        <f ca="1">IF($Y115&gt;0,CHOOSE(MATCH(RegimeExecucao,{"Unitário","Global"},0),IF($A115="S",ROUND($H115,ORÇAMENTO!$AF$10),""),ROUND($I115,ORÇAMENTO!$AF$11)),"")</f>
        <v/>
      </c>
      <c r="Y115" s="384">
        <f t="shared" ca="1" si="21"/>
        <v>0</v>
      </c>
      <c r="Z115" s="572"/>
      <c r="AB115" s="382"/>
      <c r="AC115" s="516"/>
      <c r="AD115" s="516"/>
      <c r="AE115" s="516"/>
      <c r="AF115" s="516"/>
      <c r="AG115" s="516"/>
      <c r="AH115" s="516"/>
      <c r="AI115" s="516"/>
      <c r="AJ115" s="516"/>
      <c r="AK115" s="516"/>
      <c r="AL115" s="516"/>
      <c r="AM115" s="383"/>
      <c r="AO115">
        <f ca="1">IF($A115="S",IF(BM!$I115=0,0,CHOOSE(MATCH(RegimeExecucao,{"Global","Unitário"},0),ROUND(ROUND(BM.MEDAcumulado,15-13*BM!$A$9)/100*BM!$I115,15-13*ORÇAMENTO!$AF$11),ROUND(ROUND(BM.MEDAcumulado,15-13*BM!$A$9)*ROUND(BM!$H115,15-13*ORÇAMENTO!$AF$10),15-13*ORÇAMENTO!$AF$11))),IF($A115=0,0,ROUND(SomaAgrupBM,15-13*ORÇAMENTO!$AF$11)))</f>
        <v>0</v>
      </c>
    </row>
    <row r="116" spans="1:41" ht="25.5" x14ac:dyDescent="0.2">
      <c r="A116" t="str">
        <f ca="1">ORÇAMENTO!C116</f>
        <v>S</v>
      </c>
      <c r="B116">
        <f ca="1">ORÇAMENTO!D116</f>
        <v>0</v>
      </c>
      <c r="C116" s="116" t="str">
        <f t="shared" ca="1" si="15"/>
        <v>F</v>
      </c>
      <c r="D116" s="119" t="str">
        <f ca="1">ORÇAMENTO!O116</f>
        <v>3.5.3.</v>
      </c>
      <c r="E116" s="172" t="str">
        <f t="shared" ca="1" si="16"/>
        <v>Placa em aço nº 16 galvanizado com película retrorrefletiva tipo I + SI - confecção</v>
      </c>
      <c r="F116" s="173" t="str">
        <f ca="1">IF(RegimeExecucao="Global","",ORÇAMENTO.Unidade)</f>
        <v/>
      </c>
      <c r="G116" s="124" t="str">
        <f ca="1">IF(RegimeExecucao="Global","",ORÇAMENTO!T116)</f>
        <v/>
      </c>
      <c r="H116" s="124" t="str">
        <f ca="1">IF(RegimeExecucao="Global","",ORÇAMENTO!W116)</f>
        <v/>
      </c>
      <c r="I116" s="127">
        <f ca="1">ORÇAMENTO!X116</f>
        <v>193.48</v>
      </c>
      <c r="J116" s="378">
        <f ca="1">IF($A116="S",IF(CAIXA.Modo,BM.AFAnterior,BM.MEDAnterior),IF(AND(RegimeExecucao="Global",$I116&gt;0,COUNTIF($AB$13:$AM$13,BM.medicao-1)&gt;0),M116/$I116*100,0))</f>
        <v>0</v>
      </c>
      <c r="K116" s="124">
        <f t="shared" ca="1" si="17"/>
        <v>0</v>
      </c>
      <c r="L116" s="379">
        <f ca="1">IF($A116="S",IF(CAIXA.Modo,BM.AFAcumulado,BM.MEDAcumulado),IF(AND(RegimeExecucao="Global",$I116&gt;0,COUNTIF($AB$13:$AM$13,BM.medicao)&gt;0),O116/$I116*100,0))</f>
        <v>0</v>
      </c>
      <c r="M116" s="380">
        <f ca="1">IF($A116="S",VTOTALBM,IF($A116=0,0,ROUND(SomaAgrupBM,15-13*ORÇAMENTO!$AF$11)))</f>
        <v>0</v>
      </c>
      <c r="N116" s="381">
        <f t="shared" ca="1" si="18"/>
        <v>0</v>
      </c>
      <c r="O116" s="127">
        <f ca="1">IF($A116="S",VTOTALBM,IF($A116=0,0,ROUND(SomaAgrupBM,15-13*ORÇAMENTO!$AF$11)))</f>
        <v>0</v>
      </c>
      <c r="Q116" s="382"/>
      <c r="R116" s="383"/>
      <c r="T116" s="119" t="str">
        <f t="shared" ca="1" si="19"/>
        <v/>
      </c>
      <c r="U116" s="172" t="str">
        <f t="shared" ca="1" si="20"/>
        <v/>
      </c>
      <c r="V116" s="173" t="str">
        <f ca="1">IF(AND($W116&gt;0,RegimeExecucao="Unitário"),$F116,"")</f>
        <v/>
      </c>
      <c r="W116" s="547">
        <f ca="1">IF($Y116&gt;0,CHOOSE(MATCH(RegimeExecucao,{"Unitário","Global"},0),IF($A116="S",$Y116/$X116,""),($Y116/$X116)*100),0)</f>
        <v>0</v>
      </c>
      <c r="X116" s="384" t="str">
        <f ca="1">IF($Y116&gt;0,CHOOSE(MATCH(RegimeExecucao,{"Unitário","Global"},0),IF($A116="S",ROUND($H116,ORÇAMENTO!$AF$10),""),ROUND($I116,ORÇAMENTO!$AF$11)),"")</f>
        <v/>
      </c>
      <c r="Y116" s="384">
        <f t="shared" ca="1" si="21"/>
        <v>0</v>
      </c>
      <c r="Z116" s="572"/>
      <c r="AB116" s="382"/>
      <c r="AC116" s="516"/>
      <c r="AD116" s="516"/>
      <c r="AE116" s="516"/>
      <c r="AF116" s="516"/>
      <c r="AG116" s="516"/>
      <c r="AH116" s="516"/>
      <c r="AI116" s="516"/>
      <c r="AJ116" s="516"/>
      <c r="AK116" s="516"/>
      <c r="AL116" s="516"/>
      <c r="AM116" s="383"/>
      <c r="AO116">
        <f ca="1">IF($A116="S",IF(BM!$I116=0,0,CHOOSE(MATCH(RegimeExecucao,{"Global","Unitário"},0),ROUND(ROUND(BM.MEDAcumulado,15-13*BM!$A$9)/100*BM!$I116,15-13*ORÇAMENTO!$AF$11),ROUND(ROUND(BM.MEDAcumulado,15-13*BM!$A$9)*ROUND(BM!$H116,15-13*ORÇAMENTO!$AF$10),15-13*ORÇAMENTO!$AF$11))),IF($A116=0,0,ROUND(SomaAgrupBM,15-13*ORÇAMENTO!$AF$11)))</f>
        <v>0</v>
      </c>
    </row>
    <row r="117" spans="1:41" s="577" customFormat="1" ht="38.25" x14ac:dyDescent="0.2">
      <c r="A117" s="577" t="str">
        <f ca="1">ORÇAMENTO!C117</f>
        <v>S</v>
      </c>
      <c r="B117" s="577">
        <f ca="1">ORÇAMENTO!D117</f>
        <v>0</v>
      </c>
      <c r="C117" s="116" t="str">
        <f ca="1">IF(OR($I117&gt;0,$A117=1,$A117=2,$A117=3,$A117=4),"F","")</f>
        <v>F</v>
      </c>
      <c r="D117" s="119" t="str">
        <f ca="1">ORÇAMENTO!O117</f>
        <v>3.5.4.</v>
      </c>
      <c r="E117" s="172" t="str">
        <f ca="1">ORÇAMENTO.Descricao</f>
        <v>Suporte metálico galvanizado para placa de advertência ou regulamentação - lado ou diâmetro de 0,60 m - fornecimento e implantação</v>
      </c>
      <c r="F117" s="173" t="str">
        <f ca="1">IF(RegimeExecucao="Global","",ORÇAMENTO.Unidade)</f>
        <v/>
      </c>
      <c r="G117" s="124" t="str">
        <f ca="1">IF(RegimeExecucao="Global","",ORÇAMENTO!T117)</f>
        <v/>
      </c>
      <c r="H117" s="124" t="str">
        <f ca="1">IF(RegimeExecucao="Global","",ORÇAMENTO!W117)</f>
        <v/>
      </c>
      <c r="I117" s="127">
        <f ca="1">ORÇAMENTO!X117</f>
        <v>4294.57</v>
      </c>
      <c r="J117" s="378">
        <f ca="1">IF($A117="S",IF(CAIXA.Modo,BM.AFAnterior,BM.MEDAnterior),IF(AND(RegimeExecucao="Global",$I117&gt;0,COUNTIF($AB$13:$AM$13,BM.medicao-1)&gt;0),M117/$I117*100,0))</f>
        <v>0</v>
      </c>
      <c r="K117" s="124">
        <f ca="1">L117-J117</f>
        <v>0</v>
      </c>
      <c r="L117" s="379">
        <f ca="1">IF($A117="S",IF(CAIXA.Modo,BM.AFAcumulado,BM.MEDAcumulado),IF(AND(RegimeExecucao="Global",$I117&gt;0,COUNTIF($AB$13:$AM$13,BM.medicao)&gt;0),O117/$I117*100,0))</f>
        <v>0</v>
      </c>
      <c r="M117" s="380">
        <f ca="1">IF($A117="S",VTOTALBM,IF($A117=0,0,ROUND(SomaAgrupBM,15-13*ORÇAMENTO!$AF$11)))</f>
        <v>0</v>
      </c>
      <c r="N117" s="381">
        <f ca="1">O117-M117</f>
        <v>0</v>
      </c>
      <c r="O117" s="127">
        <f ca="1">IF($A117="S",VTOTALBM,IF($A117=0,0,ROUND(SomaAgrupBM,15-13*ORÇAMENTO!$AF$11)))</f>
        <v>0</v>
      </c>
      <c r="Q117" s="382"/>
      <c r="R117" s="383"/>
      <c r="T117" s="119" t="str">
        <f ca="1">IF($W117&gt;0,$D117,"")</f>
        <v/>
      </c>
      <c r="U117" s="172" t="str">
        <f ca="1">IF($W117&gt;0,$E117,"")</f>
        <v/>
      </c>
      <c r="V117" s="173" t="str">
        <f ca="1">IF(AND($W117&gt;0,RegimeExecucao="Unitário"),$F117,"")</f>
        <v/>
      </c>
      <c r="W117" s="547">
        <f ca="1">IF($Y117&gt;0,CHOOSE(MATCH(RegimeExecucao,{"Unitário","Global"},0),IF($A117="S",$Y117/$X117,""),($Y117/$X117)*100),0)</f>
        <v>0</v>
      </c>
      <c r="X117" s="384" t="str">
        <f ca="1">IF($Y117&gt;0,CHOOSE(MATCH(RegimeExecucao,{"Unitário","Global"},0),IF($A117="S",ROUND($H117,ORÇAMENTO!$AF$10),""),ROUND($I117,ORÇAMENTO!$AF$11)),"")</f>
        <v/>
      </c>
      <c r="Y117" s="384">
        <f ca="1">AO117-O117</f>
        <v>0</v>
      </c>
      <c r="Z117" s="572"/>
      <c r="AB117" s="382"/>
      <c r="AC117" s="516"/>
      <c r="AD117" s="516"/>
      <c r="AE117" s="516"/>
      <c r="AF117" s="516"/>
      <c r="AG117" s="516"/>
      <c r="AH117" s="516"/>
      <c r="AI117" s="516"/>
      <c r="AJ117" s="516"/>
      <c r="AK117" s="516"/>
      <c r="AL117" s="516"/>
      <c r="AM117" s="383"/>
      <c r="AO117" s="577">
        <f ca="1">IF($A117="S",IF(BM!$I117=0,0,CHOOSE(MATCH(RegimeExecucao,{"Global","Unitário"},0),ROUND(ROUND(BM.MEDAcumulado,15-13*BM!$A$9)/100*BM!$I117,15-13*ORÇAMENTO!$AF$11),ROUND(ROUND(BM.MEDAcumulado,15-13*BM!$A$9)*ROUND(BM!$H117,15-13*ORÇAMENTO!$AF$10),15-13*ORÇAMENTO!$AF$11))),IF($A117=0,0,ROUND(SomaAgrupBM,15-13*ORÇAMENTO!$AF$11)))</f>
        <v>0</v>
      </c>
    </row>
    <row r="118" spans="1:41" x14ac:dyDescent="0.2">
      <c r="A118" t="str">
        <f ca="1">ORÇAMENTO!C118</f>
        <v>S</v>
      </c>
      <c r="B118">
        <f ca="1">ORÇAMENTO!D118</f>
        <v>0</v>
      </c>
      <c r="C118" s="116" t="str">
        <f t="shared" ca="1" si="15"/>
        <v>F</v>
      </c>
      <c r="D118" s="119" t="str">
        <f ca="1">ORÇAMENTO!O118</f>
        <v>3.5.5.</v>
      </c>
      <c r="E118" s="172" t="str">
        <f t="shared" ca="1" si="16"/>
        <v>Pintura de faixa com tinta acrílica - espessura de 0,6 mm</v>
      </c>
      <c r="F118" s="173" t="str">
        <f ca="1">IF(RegimeExecucao="Global","",ORÇAMENTO.Unidade)</f>
        <v/>
      </c>
      <c r="G118" s="124" t="str">
        <f ca="1">IF(RegimeExecucao="Global","",ORÇAMENTO!T118)</f>
        <v/>
      </c>
      <c r="H118" s="124" t="str">
        <f ca="1">IF(RegimeExecucao="Global","",ORÇAMENTO!W118)</f>
        <v/>
      </c>
      <c r="I118" s="127">
        <f ca="1">ORÇAMENTO!X118</f>
        <v>1803.9</v>
      </c>
      <c r="J118" s="378">
        <f ca="1">IF($A118="S",IF(CAIXA.Modo,BM.AFAnterior,BM.MEDAnterior),IF(AND(RegimeExecucao="Global",$I118&gt;0,COUNTIF($AB$13:$AM$13,BM.medicao-1)&gt;0),M118/$I118*100,0))</f>
        <v>0</v>
      </c>
      <c r="K118" s="124">
        <f t="shared" ca="1" si="17"/>
        <v>0</v>
      </c>
      <c r="L118" s="379">
        <f ca="1">IF($A118="S",IF(CAIXA.Modo,BM.AFAcumulado,BM.MEDAcumulado),IF(AND(RegimeExecucao="Global",$I118&gt;0,COUNTIF($AB$13:$AM$13,BM.medicao)&gt;0),O118/$I118*100,0))</f>
        <v>0</v>
      </c>
      <c r="M118" s="380">
        <f ca="1">IF($A118="S",VTOTALBM,IF($A118=0,0,ROUND(SomaAgrupBM,15-13*ORÇAMENTO!$AF$11)))</f>
        <v>0</v>
      </c>
      <c r="N118" s="381">
        <f t="shared" ca="1" si="18"/>
        <v>0</v>
      </c>
      <c r="O118" s="127">
        <f ca="1">IF($A118="S",VTOTALBM,IF($A118=0,0,ROUND(SomaAgrupBM,15-13*ORÇAMENTO!$AF$11)))</f>
        <v>0</v>
      </c>
      <c r="Q118" s="382"/>
      <c r="R118" s="383"/>
      <c r="T118" s="119" t="str">
        <f t="shared" ca="1" si="19"/>
        <v/>
      </c>
      <c r="U118" s="172" t="str">
        <f t="shared" ca="1" si="20"/>
        <v/>
      </c>
      <c r="V118" s="173" t="str">
        <f ca="1">IF(AND($W118&gt;0,RegimeExecucao="Unitário"),$F118,"")</f>
        <v/>
      </c>
      <c r="W118" s="547">
        <f ca="1">IF($Y118&gt;0,CHOOSE(MATCH(RegimeExecucao,{"Unitário","Global"},0),IF($A118="S",$Y118/$X118,""),($Y118/$X118)*100),0)</f>
        <v>0</v>
      </c>
      <c r="X118" s="384" t="str">
        <f ca="1">IF($Y118&gt;0,CHOOSE(MATCH(RegimeExecucao,{"Unitário","Global"},0),IF($A118="S",ROUND($H118,ORÇAMENTO!$AF$10),""),ROUND($I118,ORÇAMENTO!$AF$11)),"")</f>
        <v/>
      </c>
      <c r="Y118" s="384">
        <f t="shared" ca="1" si="21"/>
        <v>0</v>
      </c>
      <c r="Z118" s="572"/>
      <c r="AB118" s="382"/>
      <c r="AC118" s="516"/>
      <c r="AD118" s="516"/>
      <c r="AE118" s="516"/>
      <c r="AF118" s="516"/>
      <c r="AG118" s="516"/>
      <c r="AH118" s="516"/>
      <c r="AI118" s="516"/>
      <c r="AJ118" s="516"/>
      <c r="AK118" s="516"/>
      <c r="AL118" s="516"/>
      <c r="AM118" s="383"/>
      <c r="AO118">
        <f ca="1">IF($A118="S",IF(BM!$I118=0,0,CHOOSE(MATCH(RegimeExecucao,{"Global","Unitário"},0),ROUND(ROUND(BM.MEDAcumulado,15-13*BM!$A$9)/100*BM!$I118,15-13*ORÇAMENTO!$AF$11),ROUND(ROUND(BM.MEDAcumulado,15-13*BM!$A$9)*ROUND(BM!$H118,15-13*ORÇAMENTO!$AF$10),15-13*ORÇAMENTO!$AF$11))),IF($A118=0,0,ROUND(SomaAgrupBM,15-13*ORÇAMENTO!$AF$11)))</f>
        <v>0</v>
      </c>
    </row>
    <row r="119" spans="1:41" ht="5.0999999999999996" customHeight="1" x14ac:dyDescent="0.2">
      <c r="C119" s="116" t="s">
        <v>246</v>
      </c>
      <c r="D119" s="484"/>
      <c r="E119" s="485"/>
      <c r="F119" s="485"/>
      <c r="G119" s="485"/>
      <c r="H119" s="485"/>
      <c r="I119" s="486"/>
      <c r="J119" s="484"/>
      <c r="K119" s="485"/>
      <c r="L119" s="486"/>
      <c r="M119" s="513"/>
      <c r="N119" s="514"/>
      <c r="O119" s="515"/>
      <c r="Q119" s="484"/>
      <c r="R119" s="486"/>
      <c r="T119" s="484"/>
      <c r="U119" s="485"/>
      <c r="V119" s="485"/>
      <c r="W119" s="485"/>
      <c r="X119" s="485"/>
      <c r="Y119" s="485"/>
      <c r="Z119" s="486"/>
      <c r="AB119" s="484"/>
      <c r="AC119" s="485"/>
      <c r="AD119" s="485"/>
      <c r="AE119" s="485"/>
      <c r="AF119" s="485"/>
      <c r="AG119" s="485"/>
      <c r="AH119" s="485"/>
      <c r="AI119" s="485"/>
      <c r="AJ119" s="485"/>
      <c r="AK119" s="485"/>
      <c r="AL119" s="485"/>
      <c r="AM119" s="486"/>
    </row>
    <row r="121" spans="1:41" ht="14.25" x14ac:dyDescent="0.2">
      <c r="D121" s="684" t="s">
        <v>187</v>
      </c>
      <c r="E121" s="684"/>
      <c r="F121" s="684"/>
      <c r="G121" s="684"/>
      <c r="H121" s="684"/>
      <c r="I121" s="684"/>
      <c r="J121" s="684"/>
      <c r="K121" s="684"/>
      <c r="L121" s="684"/>
      <c r="M121" s="684"/>
      <c r="N121" s="684"/>
      <c r="O121" s="684"/>
      <c r="T121" s="685" t="s">
        <v>353</v>
      </c>
      <c r="U121" s="685"/>
      <c r="V121" s="685"/>
      <c r="W121" s="685"/>
      <c r="X121" s="685"/>
      <c r="Y121" s="685"/>
      <c r="Z121" s="685"/>
    </row>
    <row r="122" spans="1:41" ht="12.75" customHeight="1" x14ac:dyDescent="0.2">
      <c r="D122" s="615"/>
      <c r="E122" s="615"/>
      <c r="F122" s="615"/>
      <c r="G122" s="615"/>
      <c r="H122" s="615"/>
      <c r="I122" s="615"/>
      <c r="J122" s="615"/>
      <c r="K122" s="615"/>
      <c r="L122" s="615"/>
      <c r="M122" s="615"/>
      <c r="N122" s="615"/>
      <c r="O122" s="615"/>
      <c r="T122" s="686"/>
      <c r="U122" s="686"/>
      <c r="V122" s="686"/>
      <c r="W122" s="686"/>
      <c r="X122" s="686"/>
      <c r="Y122" s="686"/>
      <c r="Z122" s="686"/>
    </row>
    <row r="123" spans="1:41" ht="12.75" customHeight="1" x14ac:dyDescent="0.2">
      <c r="D123" s="615"/>
      <c r="E123" s="615"/>
      <c r="F123" s="615"/>
      <c r="G123" s="615"/>
      <c r="H123" s="615"/>
      <c r="I123" s="615"/>
      <c r="J123" s="615"/>
      <c r="K123" s="615"/>
      <c r="L123" s="615"/>
      <c r="M123" s="615"/>
      <c r="N123" s="615"/>
      <c r="O123" s="615"/>
      <c r="T123" s="686"/>
      <c r="U123" s="686"/>
      <c r="V123" s="686"/>
      <c r="W123" s="686"/>
      <c r="X123" s="686"/>
      <c r="Y123" s="686"/>
      <c r="Z123" s="686"/>
    </row>
    <row r="124" spans="1:41" ht="12.75" customHeight="1" x14ac:dyDescent="0.2">
      <c r="D124" s="615"/>
      <c r="E124" s="615"/>
      <c r="F124" s="615"/>
      <c r="G124" s="615"/>
      <c r="H124" s="615"/>
      <c r="I124" s="615"/>
      <c r="J124" s="615"/>
      <c r="K124" s="615"/>
      <c r="L124" s="615"/>
      <c r="M124" s="615"/>
      <c r="N124" s="615"/>
      <c r="O124" s="615"/>
      <c r="T124" s="686"/>
      <c r="U124" s="686"/>
      <c r="V124" s="686"/>
      <c r="W124" s="686"/>
      <c r="X124" s="686"/>
      <c r="Y124" s="686"/>
      <c r="Z124" s="686"/>
    </row>
    <row r="125" spans="1:41" ht="14.25" x14ac:dyDescent="0.2">
      <c r="D125" s="534"/>
      <c r="E125" s="534"/>
      <c r="F125" s="534"/>
      <c r="G125" s="534"/>
      <c r="H125" s="534"/>
      <c r="I125" s="534"/>
      <c r="J125" s="534"/>
      <c r="K125" s="534"/>
      <c r="L125" s="534"/>
      <c r="M125" s="534"/>
      <c r="N125" s="534"/>
      <c r="O125" s="534"/>
    </row>
    <row r="126" spans="1:41" ht="15" customHeight="1" x14ac:dyDescent="0.25">
      <c r="D126" s="616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126" s="616"/>
      <c r="F126" s="616"/>
      <c r="G126" s="616"/>
      <c r="H126" s="616"/>
      <c r="I126" s="616"/>
      <c r="J126" s="616"/>
      <c r="K126" s="616"/>
      <c r="L126" s="616"/>
    </row>
    <row r="127" spans="1:41" x14ac:dyDescent="0.2">
      <c r="D127" s="682"/>
      <c r="E127" s="682"/>
      <c r="F127" s="682"/>
      <c r="G127" s="682"/>
      <c r="H127" s="682"/>
      <c r="I127" s="682"/>
    </row>
    <row r="128" spans="1:41" x14ac:dyDescent="0.2">
      <c r="D128" s="689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128" s="689"/>
      <c r="F128" s="689"/>
      <c r="G128" s="689"/>
      <c r="H128" s="689"/>
      <c r="I128" s="689"/>
      <c r="J128" s="689"/>
      <c r="K128" s="689"/>
      <c r="L128" s="689"/>
      <c r="M128" s="689"/>
      <c r="N128" s="689"/>
      <c r="O128" s="689"/>
    </row>
    <row r="129" spans="5:26" ht="39.950000000000003" customHeight="1" x14ac:dyDescent="0.2">
      <c r="E129" s="144" t="str">
        <f>Import.Município</f>
        <v>CÂNDIDO GODÓI</v>
      </c>
      <c r="J129" s="690"/>
      <c r="K129" s="690"/>
      <c r="L129" s="690"/>
      <c r="M129" s="690"/>
      <c r="W129" s="690"/>
      <c r="X129" s="690"/>
      <c r="Y129" s="690"/>
      <c r="Z129" s="690"/>
    </row>
    <row r="130" spans="5:26" x14ac:dyDescent="0.2">
      <c r="E130" s="10" t="s">
        <v>188</v>
      </c>
      <c r="J130" s="195" t="s">
        <v>302</v>
      </c>
      <c r="W130" s="195" t="s">
        <v>354</v>
      </c>
    </row>
    <row r="131" spans="5:26" x14ac:dyDescent="0.2">
      <c r="J131" s="78" t="s">
        <v>108</v>
      </c>
      <c r="K131" s="312" t="str">
        <f t="array" ref="K131:K134">Import.RespFiscalização</f>
        <v>DANIEL RODRIGO GOERLACH</v>
      </c>
      <c r="L131" s="79"/>
      <c r="W131" s="78" t="s">
        <v>108</v>
      </c>
      <c r="X131" s="688"/>
      <c r="Y131" s="688"/>
      <c r="Z131" s="688"/>
    </row>
    <row r="132" spans="5:26" x14ac:dyDescent="0.2">
      <c r="E132" s="552">
        <f>DADOS!$F$48</f>
        <v>45777</v>
      </c>
      <c r="J132" s="78" t="s">
        <v>127</v>
      </c>
      <c r="K132" s="312" t="str">
        <v>ENGENHEIRO CIVIL</v>
      </c>
      <c r="L132" s="79"/>
      <c r="W132" s="78" t="s">
        <v>355</v>
      </c>
      <c r="X132" s="688"/>
      <c r="Y132" s="688"/>
      <c r="Z132" s="688"/>
    </row>
    <row r="133" spans="5:26" x14ac:dyDescent="0.2">
      <c r="E133" s="146" t="s">
        <v>189</v>
      </c>
      <c r="J133" s="78" t="s">
        <v>109</v>
      </c>
      <c r="K133" s="312" t="str">
        <v>CREA/RS 130.189</v>
      </c>
      <c r="L133" s="79"/>
      <c r="W133" s="78" t="s">
        <v>109</v>
      </c>
      <c r="X133" s="688"/>
      <c r="Y133" s="688"/>
      <c r="Z133" s="688"/>
    </row>
    <row r="134" spans="5:26" x14ac:dyDescent="0.2">
      <c r="J134" s="78" t="s">
        <v>110</v>
      </c>
      <c r="K134" s="13">
        <v>0</v>
      </c>
      <c r="W134" s="78"/>
      <c r="X134" s="13"/>
    </row>
  </sheetData>
  <sheetProtection algorithmName="SHA-512" hashValue="LukCU8/heRoKS53dnRR2B1QG+Biqz3RtOpsJ8+dkdUiCodyU4OyPXHPomXZztydZqwhCLOktmifQw7KxYDZy7A==" saltValue="fY+oDy3RYvfba0+pQtcDCA==" spinCount="100000" sheet="1" objects="1" scenarios="1" autoFilter="0"/>
  <autoFilter ref="C15:C119"/>
  <mergeCells count="35">
    <mergeCell ref="X133:Z133"/>
    <mergeCell ref="D128:O128"/>
    <mergeCell ref="J129:M129"/>
    <mergeCell ref="W129:Z129"/>
    <mergeCell ref="X131:Z131"/>
    <mergeCell ref="X132:Z132"/>
    <mergeCell ref="D126:L126"/>
    <mergeCell ref="D127:I127"/>
    <mergeCell ref="AB15:AM15"/>
    <mergeCell ref="D121:O121"/>
    <mergeCell ref="T121:Z121"/>
    <mergeCell ref="D122:O124"/>
    <mergeCell ref="T122:Z124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8" type="noConversion"/>
  <conditionalFormatting sqref="D14:O14 T14:Z14 T49:Z49 D49:O49 D34:O34 T34:Z34 D106:O108 T106:Z108 D54:O57 T54:Z57 D17:O19 T17:Z19 D26:O32 T26:Z32 T70:Z75 D70:O75 D39:O40 T39:Z40 D79:O89 T79:Z89 T43:Z47 D43:O47 T92:Z92 D92:O92 T113:Z116 D113:O116 D118:O118 T118:Z118 D60:O67 T60:Z67 D94:O94 T94:Z94">
    <cfRule type="expression" dxfId="157" priority="2648" stopIfTrue="1">
      <formula>OR(ACOMPANHAMENTO="PLE",TIPOORCAMENTO="Proposto",$L14&lt;0,AND($L14&gt;100,RegimeExecucao="Global"),$O14&gt;$I14,$O14&lt;0)</formula>
    </cfRule>
    <cfRule type="expression" dxfId="156" priority="2649" stopIfTrue="1">
      <formula>$A14=1</formula>
    </cfRule>
    <cfRule type="expression" dxfId="155" priority="2650" stopIfTrue="1">
      <formula>$A14&lt;&gt;"S"</formula>
    </cfRule>
  </conditionalFormatting>
  <conditionalFormatting sqref="Q14:R14 AB14:AM14 AB49:AM49 Q49:R49 Q34:R34 AB34:AM34 Q106:R108 AB106:AM108 Q54:R57 AB54:AM57 Q17:R19 AB17:AM19 Q26:R32 AB26:AM32 AB70:AM75 Q70:R75 Q39:R40 AB39:AM40 Q79:R89 AB79:AM89 AB43:AM47 Q43:R47 AB92:AM92 Q92:R92 AB113:AM116 Q113:R116 Q118:R118 AB118:AM118 Q60:R67 AB60:AM67 Q94:R94 AB94:AM94">
    <cfRule type="expression" dxfId="154" priority="2651" stopIfTrue="1">
      <formula>$A14=1</formula>
    </cfRule>
    <cfRule type="expression" dxfId="153" priority="2652" stopIfTrue="1">
      <formula>$A14&lt;&gt;"S"</formula>
    </cfRule>
  </conditionalFormatting>
  <conditionalFormatting sqref="E2">
    <cfRule type="expression" dxfId="152" priority="2653" stopIfTrue="1">
      <formula>Import.RegimeExecução="(SELECIONAR)"</formula>
    </cfRule>
  </conditionalFormatting>
  <conditionalFormatting sqref="F13:H13">
    <cfRule type="expression" dxfId="151" priority="2654" stopIfTrue="1">
      <formula>RegimeExecucao="Global"</formula>
    </cfRule>
  </conditionalFormatting>
  <conditionalFormatting sqref="D15:O15">
    <cfRule type="expression" dxfId="150" priority="2655" stopIfTrue="1">
      <formula>OR(ACOMPANHAMENTO="PLE",TIPOORCAMENTO="Proposto")</formula>
    </cfRule>
  </conditionalFormatting>
  <conditionalFormatting sqref="AB13">
    <cfRule type="cellIs" dxfId="149" priority="2656" stopIfTrue="1" operator="notEqual">
      <formula>1</formula>
    </cfRule>
  </conditionalFormatting>
  <conditionalFormatting sqref="D38:O38 T38:Z38">
    <cfRule type="expression" dxfId="148" priority="211" stopIfTrue="1">
      <formula>OR(ACOMPANHAMENTO="PLE",TIPOORCAMENTO="Proposto",$L38&lt;0,AND($L38&gt;100,RegimeExecucao="Global"),$O38&gt;$I38,$O38&lt;0)</formula>
    </cfRule>
    <cfRule type="expression" dxfId="147" priority="212" stopIfTrue="1">
      <formula>$A38=1</formula>
    </cfRule>
    <cfRule type="expression" dxfId="146" priority="213" stopIfTrue="1">
      <formula>$A38&lt;&gt;"S"</formula>
    </cfRule>
  </conditionalFormatting>
  <conditionalFormatting sqref="Q38:R38 AB38:AM38">
    <cfRule type="expression" dxfId="145" priority="214" stopIfTrue="1">
      <formula>$A38=1</formula>
    </cfRule>
    <cfRule type="expression" dxfId="144" priority="215" stopIfTrue="1">
      <formula>$A38&lt;&gt;"S"</formula>
    </cfRule>
  </conditionalFormatting>
  <conditionalFormatting sqref="D20:O20 T20:Z20">
    <cfRule type="expression" dxfId="143" priority="201" stopIfTrue="1">
      <formula>OR(ACOMPANHAMENTO="PLE",TIPOORCAMENTO="Proposto",$L20&lt;0,AND($L20&gt;100,RegimeExecucao="Global"),$O20&gt;$I20,$O20&lt;0)</formula>
    </cfRule>
    <cfRule type="expression" dxfId="142" priority="202" stopIfTrue="1">
      <formula>$A20=1</formula>
    </cfRule>
    <cfRule type="expression" dxfId="141" priority="203" stopIfTrue="1">
      <formula>$A20&lt;&gt;"S"</formula>
    </cfRule>
  </conditionalFormatting>
  <conditionalFormatting sqref="Q20:R20 AB20:AM20">
    <cfRule type="expression" dxfId="140" priority="204" stopIfTrue="1">
      <formula>$A20=1</formula>
    </cfRule>
    <cfRule type="expression" dxfId="139" priority="205" stopIfTrue="1">
      <formula>$A20&lt;&gt;"S"</formula>
    </cfRule>
  </conditionalFormatting>
  <conditionalFormatting sqref="T21:Z22 D21:O22 D24:O24 T24:Z24">
    <cfRule type="expression" dxfId="138" priority="196" stopIfTrue="1">
      <formula>OR(ACOMPANHAMENTO="PLE",TIPOORCAMENTO="Proposto",$L21&lt;0,AND($L21&gt;100,RegimeExecucao="Global"),$O21&gt;$I21,$O21&lt;0)</formula>
    </cfRule>
    <cfRule type="expression" dxfId="137" priority="197" stopIfTrue="1">
      <formula>$A21=1</formula>
    </cfRule>
    <cfRule type="expression" dxfId="136" priority="198" stopIfTrue="1">
      <formula>$A21&lt;&gt;"S"</formula>
    </cfRule>
  </conditionalFormatting>
  <conditionalFormatting sqref="AB21:AM22 Q21:R22 Q24:R24 AB24:AM24">
    <cfRule type="expression" dxfId="135" priority="199" stopIfTrue="1">
      <formula>$A21=1</formula>
    </cfRule>
    <cfRule type="expression" dxfId="134" priority="200" stopIfTrue="1">
      <formula>$A21&lt;&gt;"S"</formula>
    </cfRule>
  </conditionalFormatting>
  <conditionalFormatting sqref="D25:O25 T25:Z25">
    <cfRule type="expression" dxfId="133" priority="191" stopIfTrue="1">
      <formula>OR(ACOMPANHAMENTO="PLE",TIPOORCAMENTO="Proposto",$L25&lt;0,AND($L25&gt;100,RegimeExecucao="Global"),$O25&gt;$I25,$O25&lt;0)</formula>
    </cfRule>
    <cfRule type="expression" dxfId="132" priority="192" stopIfTrue="1">
      <formula>$A25=1</formula>
    </cfRule>
    <cfRule type="expression" dxfId="131" priority="193" stopIfTrue="1">
      <formula>$A25&lt;&gt;"S"</formula>
    </cfRule>
  </conditionalFormatting>
  <conditionalFormatting sqref="Q25:R25 AB25:AM25">
    <cfRule type="expression" dxfId="130" priority="194" stopIfTrue="1">
      <formula>$A25=1</formula>
    </cfRule>
    <cfRule type="expression" dxfId="129" priority="195" stopIfTrue="1">
      <formula>$A25&lt;&gt;"S"</formula>
    </cfRule>
  </conditionalFormatting>
  <conditionalFormatting sqref="D48:O48 T48:Z48">
    <cfRule type="expression" dxfId="128" priority="176" stopIfTrue="1">
      <formula>OR(ACOMPANHAMENTO="PLE",TIPOORCAMENTO="Proposto",$L48&lt;0,AND($L48&gt;100,RegimeExecucao="Global"),$O48&gt;$I48,$O48&lt;0)</formula>
    </cfRule>
    <cfRule type="expression" dxfId="127" priority="177" stopIfTrue="1">
      <formula>$A48=1</formula>
    </cfRule>
    <cfRule type="expression" dxfId="126" priority="178" stopIfTrue="1">
      <formula>$A48&lt;&gt;"S"</formula>
    </cfRule>
  </conditionalFormatting>
  <conditionalFormatting sqref="Q48:R48 AB48:AM48">
    <cfRule type="expression" dxfId="125" priority="179" stopIfTrue="1">
      <formula>$A48=1</formula>
    </cfRule>
    <cfRule type="expression" dxfId="124" priority="180" stopIfTrue="1">
      <formula>$A48&lt;&gt;"S"</formula>
    </cfRule>
  </conditionalFormatting>
  <conditionalFormatting sqref="D33:O33 T33:Z33">
    <cfRule type="expression" dxfId="123" priority="171" stopIfTrue="1">
      <formula>OR(ACOMPANHAMENTO="PLE",TIPOORCAMENTO="Proposto",$L33&lt;0,AND($L33&gt;100,RegimeExecucao="Global"),$O33&gt;$I33,$O33&lt;0)</formula>
    </cfRule>
    <cfRule type="expression" dxfId="122" priority="172" stopIfTrue="1">
      <formula>$A33=1</formula>
    </cfRule>
    <cfRule type="expression" dxfId="121" priority="173" stopIfTrue="1">
      <formula>$A33&lt;&gt;"S"</formula>
    </cfRule>
  </conditionalFormatting>
  <conditionalFormatting sqref="Q33:R33 AB33:AM33">
    <cfRule type="expression" dxfId="120" priority="174" stopIfTrue="1">
      <formula>$A33=1</formula>
    </cfRule>
    <cfRule type="expression" dxfId="119" priority="175" stopIfTrue="1">
      <formula>$A33&lt;&gt;"S"</formula>
    </cfRule>
  </conditionalFormatting>
  <conditionalFormatting sqref="D50:O52 T50:Z52">
    <cfRule type="expression" dxfId="118" priority="156" stopIfTrue="1">
      <formula>OR(ACOMPANHAMENTO="PLE",TIPOORCAMENTO="Proposto",$L50&lt;0,AND($L50&gt;100,RegimeExecucao="Global"),$O50&gt;$I50,$O50&lt;0)</formula>
    </cfRule>
    <cfRule type="expression" dxfId="117" priority="157" stopIfTrue="1">
      <formula>$A50=1</formula>
    </cfRule>
    <cfRule type="expression" dxfId="116" priority="158" stopIfTrue="1">
      <formula>$A50&lt;&gt;"S"</formula>
    </cfRule>
  </conditionalFormatting>
  <conditionalFormatting sqref="Q50:R52 AB50:AM52">
    <cfRule type="expression" dxfId="115" priority="159" stopIfTrue="1">
      <formula>$A50=1</formula>
    </cfRule>
    <cfRule type="expression" dxfId="114" priority="160" stopIfTrue="1">
      <formula>$A50&lt;&gt;"S"</formula>
    </cfRule>
  </conditionalFormatting>
  <conditionalFormatting sqref="D36:O36 T36:Z36">
    <cfRule type="expression" dxfId="113" priority="151" stopIfTrue="1">
      <formula>OR(ACOMPANHAMENTO="PLE",TIPOORCAMENTO="Proposto",$L36&lt;0,AND($L36&gt;100,RegimeExecucao="Global"),$O36&gt;$I36,$O36&lt;0)</formula>
    </cfRule>
    <cfRule type="expression" dxfId="112" priority="152" stopIfTrue="1">
      <formula>$A36=1</formula>
    </cfRule>
    <cfRule type="expression" dxfId="111" priority="153" stopIfTrue="1">
      <formula>$A36&lt;&gt;"S"</formula>
    </cfRule>
  </conditionalFormatting>
  <conditionalFormatting sqref="Q36:R36 AB36:AM36">
    <cfRule type="expression" dxfId="110" priority="154" stopIfTrue="1">
      <formula>$A36=1</formula>
    </cfRule>
    <cfRule type="expression" dxfId="109" priority="155" stopIfTrue="1">
      <formula>$A36&lt;&gt;"S"</formula>
    </cfRule>
  </conditionalFormatting>
  <conditionalFormatting sqref="D35:O35 T35:Z35">
    <cfRule type="expression" dxfId="108" priority="146" stopIfTrue="1">
      <formula>OR(ACOMPANHAMENTO="PLE",TIPOORCAMENTO="Proposto",$L35&lt;0,AND($L35&gt;100,RegimeExecucao="Global"),$O35&gt;$I35,$O35&lt;0)</formula>
    </cfRule>
    <cfRule type="expression" dxfId="107" priority="147" stopIfTrue="1">
      <formula>$A35=1</formula>
    </cfRule>
    <cfRule type="expression" dxfId="106" priority="148" stopIfTrue="1">
      <formula>$A35&lt;&gt;"S"</formula>
    </cfRule>
  </conditionalFormatting>
  <conditionalFormatting sqref="Q35:R35 AB35:AM35">
    <cfRule type="expression" dxfId="105" priority="149" stopIfTrue="1">
      <formula>$A35=1</formula>
    </cfRule>
    <cfRule type="expression" dxfId="104" priority="150" stopIfTrue="1">
      <formula>$A35&lt;&gt;"S"</formula>
    </cfRule>
  </conditionalFormatting>
  <conditionalFormatting sqref="D76:O77 T76:Z77">
    <cfRule type="expression" dxfId="103" priority="126" stopIfTrue="1">
      <formula>OR(ACOMPANHAMENTO="PLE",TIPOORCAMENTO="Proposto",$L76&lt;0,AND($L76&gt;100,RegimeExecucao="Global"),$O76&gt;$I76,$O76&lt;0)</formula>
    </cfRule>
    <cfRule type="expression" dxfId="102" priority="127" stopIfTrue="1">
      <formula>$A76=1</formula>
    </cfRule>
    <cfRule type="expression" dxfId="101" priority="128" stopIfTrue="1">
      <formula>$A76&lt;&gt;"S"</formula>
    </cfRule>
  </conditionalFormatting>
  <conditionalFormatting sqref="Q76:R77 AB76:AM77">
    <cfRule type="expression" dxfId="100" priority="129" stopIfTrue="1">
      <formula>$A76=1</formula>
    </cfRule>
    <cfRule type="expression" dxfId="99" priority="130" stopIfTrue="1">
      <formula>$A76&lt;&gt;"S"</formula>
    </cfRule>
  </conditionalFormatting>
  <conditionalFormatting sqref="D93:O93 T93:Z93 T101:Z103 D101:O103 T95:Z99 D95:O99">
    <cfRule type="expression" dxfId="98" priority="116" stopIfTrue="1">
      <formula>OR(ACOMPANHAMENTO="PLE",TIPOORCAMENTO="Proposto",$L93&lt;0,AND($L93&gt;100,RegimeExecucao="Global"),$O93&gt;$I93,$O93&lt;0)</formula>
    </cfRule>
    <cfRule type="expression" dxfId="97" priority="117" stopIfTrue="1">
      <formula>$A93=1</formula>
    </cfRule>
    <cfRule type="expression" dxfId="96" priority="118" stopIfTrue="1">
      <formula>$A93&lt;&gt;"S"</formula>
    </cfRule>
  </conditionalFormatting>
  <conditionalFormatting sqref="Q93:R93 AB93:AM93 AB101:AM103 Q101:R103 AB95:AM99 Q95:R99">
    <cfRule type="expression" dxfId="95" priority="119" stopIfTrue="1">
      <formula>$A93=1</formula>
    </cfRule>
    <cfRule type="expression" dxfId="94" priority="120" stopIfTrue="1">
      <formula>$A93&lt;&gt;"S"</formula>
    </cfRule>
  </conditionalFormatting>
  <conditionalFormatting sqref="D104:O105 T104:Z105">
    <cfRule type="expression" dxfId="93" priority="111" stopIfTrue="1">
      <formula>OR(ACOMPANHAMENTO="PLE",TIPOORCAMENTO="Proposto",$L104&lt;0,AND($L104&gt;100,RegimeExecucao="Global"),$O104&gt;$I104,$O104&lt;0)</formula>
    </cfRule>
    <cfRule type="expression" dxfId="92" priority="112" stopIfTrue="1">
      <formula>$A104=1</formula>
    </cfRule>
    <cfRule type="expression" dxfId="91" priority="113" stopIfTrue="1">
      <formula>$A104&lt;&gt;"S"</formula>
    </cfRule>
  </conditionalFormatting>
  <conditionalFormatting sqref="Q104:R105 AB104:AM105">
    <cfRule type="expression" dxfId="90" priority="114" stopIfTrue="1">
      <formula>$A104=1</formula>
    </cfRule>
    <cfRule type="expression" dxfId="89" priority="115" stopIfTrue="1">
      <formula>$A104&lt;&gt;"S"</formula>
    </cfRule>
  </conditionalFormatting>
  <conditionalFormatting sqref="D16:O16 T16:Z16">
    <cfRule type="expression" dxfId="88" priority="96" stopIfTrue="1">
      <formula>OR(ACOMPANHAMENTO="PLE",TIPOORCAMENTO="Proposto",$L16&lt;0,AND($L16&gt;100,RegimeExecucao="Global"),$O16&gt;$I16,$O16&lt;0)</formula>
    </cfRule>
    <cfRule type="expression" dxfId="87" priority="97" stopIfTrue="1">
      <formula>$A16=1</formula>
    </cfRule>
    <cfRule type="expression" dxfId="86" priority="98" stopIfTrue="1">
      <formula>$A16&lt;&gt;"S"</formula>
    </cfRule>
  </conditionalFormatting>
  <conditionalFormatting sqref="Q16:R16 AB16:AM16">
    <cfRule type="expression" dxfId="85" priority="99" stopIfTrue="1">
      <formula>$A16=1</formula>
    </cfRule>
    <cfRule type="expression" dxfId="84" priority="100" stopIfTrue="1">
      <formula>$A16&lt;&gt;"S"</formula>
    </cfRule>
  </conditionalFormatting>
  <conditionalFormatting sqref="D37:O37 T37:Z37">
    <cfRule type="expression" dxfId="83" priority="91" stopIfTrue="1">
      <formula>OR(ACOMPANHAMENTO="PLE",TIPOORCAMENTO="Proposto",$L37&lt;0,AND($L37&gt;100,RegimeExecucao="Global"),$O37&gt;$I37,$O37&lt;0)</formula>
    </cfRule>
    <cfRule type="expression" dxfId="82" priority="92" stopIfTrue="1">
      <formula>$A37=1</formula>
    </cfRule>
    <cfRule type="expression" dxfId="81" priority="93" stopIfTrue="1">
      <formula>$A37&lt;&gt;"S"</formula>
    </cfRule>
  </conditionalFormatting>
  <conditionalFormatting sqref="Q37:R37 AB37:AM37">
    <cfRule type="expression" dxfId="80" priority="94" stopIfTrue="1">
      <formula>$A37=1</formula>
    </cfRule>
    <cfRule type="expression" dxfId="79" priority="95" stopIfTrue="1">
      <formula>$A37&lt;&gt;"S"</formula>
    </cfRule>
  </conditionalFormatting>
  <conditionalFormatting sqref="D53:O53 T53:Z53">
    <cfRule type="expression" dxfId="78" priority="86" stopIfTrue="1">
      <formula>OR(ACOMPANHAMENTO="PLE",TIPOORCAMENTO="Proposto",$L53&lt;0,AND($L53&gt;100,RegimeExecucao="Global"),$O53&gt;$I53,$O53&lt;0)</formula>
    </cfRule>
    <cfRule type="expression" dxfId="77" priority="87" stopIfTrue="1">
      <formula>$A53=1</formula>
    </cfRule>
    <cfRule type="expression" dxfId="76" priority="88" stopIfTrue="1">
      <formula>$A53&lt;&gt;"S"</formula>
    </cfRule>
  </conditionalFormatting>
  <conditionalFormatting sqref="Q53:R53 AB53:AM53">
    <cfRule type="expression" dxfId="75" priority="89" stopIfTrue="1">
      <formula>$A53=1</formula>
    </cfRule>
    <cfRule type="expression" dxfId="74" priority="90" stopIfTrue="1">
      <formula>$A53&lt;&gt;"S"</formula>
    </cfRule>
  </conditionalFormatting>
  <conditionalFormatting sqref="D58:O58 T58:Z58">
    <cfRule type="expression" dxfId="73" priority="81" stopIfTrue="1">
      <formula>OR(ACOMPANHAMENTO="PLE",TIPOORCAMENTO="Proposto",$L58&lt;0,AND($L58&gt;100,RegimeExecucao="Global"),$O58&gt;$I58,$O58&lt;0)</formula>
    </cfRule>
    <cfRule type="expression" dxfId="72" priority="82" stopIfTrue="1">
      <formula>$A58=1</formula>
    </cfRule>
    <cfRule type="expression" dxfId="71" priority="83" stopIfTrue="1">
      <formula>$A58&lt;&gt;"S"</formula>
    </cfRule>
  </conditionalFormatting>
  <conditionalFormatting sqref="Q58:R58 AB58:AM58">
    <cfRule type="expression" dxfId="70" priority="84" stopIfTrue="1">
      <formula>$A58=1</formula>
    </cfRule>
    <cfRule type="expression" dxfId="69" priority="85" stopIfTrue="1">
      <formula>$A58&lt;&gt;"S"</formula>
    </cfRule>
  </conditionalFormatting>
  <conditionalFormatting sqref="D68:O69 T68:Z69">
    <cfRule type="expression" dxfId="68" priority="76" stopIfTrue="1">
      <formula>OR(ACOMPANHAMENTO="PLE",TIPOORCAMENTO="Proposto",$L68&lt;0,AND($L68&gt;100,RegimeExecucao="Global"),$O68&gt;$I68,$O68&lt;0)</formula>
    </cfRule>
    <cfRule type="expression" dxfId="67" priority="77" stopIfTrue="1">
      <formula>$A68=1</formula>
    </cfRule>
    <cfRule type="expression" dxfId="66" priority="78" stopIfTrue="1">
      <formula>$A68&lt;&gt;"S"</formula>
    </cfRule>
  </conditionalFormatting>
  <conditionalFormatting sqref="Q68:R69 AB68:AM69">
    <cfRule type="expression" dxfId="65" priority="79" stopIfTrue="1">
      <formula>$A68=1</formula>
    </cfRule>
    <cfRule type="expression" dxfId="64" priority="80" stopIfTrue="1">
      <formula>$A68&lt;&gt;"S"</formula>
    </cfRule>
  </conditionalFormatting>
  <conditionalFormatting sqref="D41:O41 T41:Z41">
    <cfRule type="expression" dxfId="63" priority="66" stopIfTrue="1">
      <formula>OR(ACOMPANHAMENTO="PLE",TIPOORCAMENTO="Proposto",$L41&lt;0,AND($L41&gt;100,RegimeExecucao="Global"),$O41&gt;$I41,$O41&lt;0)</formula>
    </cfRule>
    <cfRule type="expression" dxfId="62" priority="67" stopIfTrue="1">
      <formula>$A41=1</formula>
    </cfRule>
    <cfRule type="expression" dxfId="61" priority="68" stopIfTrue="1">
      <formula>$A41&lt;&gt;"S"</formula>
    </cfRule>
  </conditionalFormatting>
  <conditionalFormatting sqref="Q41:R41 AB41:AM41">
    <cfRule type="expression" dxfId="60" priority="69" stopIfTrue="1">
      <formula>$A41=1</formula>
    </cfRule>
    <cfRule type="expression" dxfId="59" priority="70" stopIfTrue="1">
      <formula>$A41&lt;&gt;"S"</formula>
    </cfRule>
  </conditionalFormatting>
  <conditionalFormatting sqref="D90:O90 T90:Z90">
    <cfRule type="expression" dxfId="58" priority="61" stopIfTrue="1">
      <formula>OR(ACOMPANHAMENTO="PLE",TIPOORCAMENTO="Proposto",$L90&lt;0,AND($L90&gt;100,RegimeExecucao="Global"),$O90&gt;$I90,$O90&lt;0)</formula>
    </cfRule>
    <cfRule type="expression" dxfId="57" priority="62" stopIfTrue="1">
      <formula>$A90=1</formula>
    </cfRule>
    <cfRule type="expression" dxfId="56" priority="63" stopIfTrue="1">
      <formula>$A90&lt;&gt;"S"</formula>
    </cfRule>
  </conditionalFormatting>
  <conditionalFormatting sqref="Q90:R90 AB90:AM90">
    <cfRule type="expression" dxfId="55" priority="64" stopIfTrue="1">
      <formula>$A90=1</formula>
    </cfRule>
    <cfRule type="expression" dxfId="54" priority="65" stopIfTrue="1">
      <formula>$A90&lt;&gt;"S"</formula>
    </cfRule>
  </conditionalFormatting>
  <conditionalFormatting sqref="D100:O100 T100:Z100">
    <cfRule type="expression" dxfId="53" priority="56" stopIfTrue="1">
      <formula>OR(ACOMPANHAMENTO="PLE",TIPOORCAMENTO="Proposto",$L100&lt;0,AND($L100&gt;100,RegimeExecucao="Global"),$O100&gt;$I100,$O100&lt;0)</formula>
    </cfRule>
    <cfRule type="expression" dxfId="52" priority="57" stopIfTrue="1">
      <formula>$A100=1</formula>
    </cfRule>
    <cfRule type="expression" dxfId="51" priority="58" stopIfTrue="1">
      <formula>$A100&lt;&gt;"S"</formula>
    </cfRule>
  </conditionalFormatting>
  <conditionalFormatting sqref="Q100:R100 AB100:AM100">
    <cfRule type="expression" dxfId="50" priority="59" stopIfTrue="1">
      <formula>$A100=1</formula>
    </cfRule>
    <cfRule type="expression" dxfId="49" priority="60" stopIfTrue="1">
      <formula>$A100&lt;&gt;"S"</formula>
    </cfRule>
  </conditionalFormatting>
  <conditionalFormatting sqref="D110:O112 T110:Z112">
    <cfRule type="expression" dxfId="48" priority="51" stopIfTrue="1">
      <formula>OR(ACOMPANHAMENTO="PLE",TIPOORCAMENTO="Proposto",$L110&lt;0,AND($L110&gt;100,RegimeExecucao="Global"),$O110&gt;$I110,$O110&lt;0)</formula>
    </cfRule>
    <cfRule type="expression" dxfId="47" priority="52" stopIfTrue="1">
      <formula>$A110=1</formula>
    </cfRule>
    <cfRule type="expression" dxfId="46" priority="53" stopIfTrue="1">
      <formula>$A110&lt;&gt;"S"</formula>
    </cfRule>
  </conditionalFormatting>
  <conditionalFormatting sqref="Q110:R112 AB110:AM112">
    <cfRule type="expression" dxfId="45" priority="54" stopIfTrue="1">
      <formula>$A110=1</formula>
    </cfRule>
    <cfRule type="expression" dxfId="44" priority="55" stopIfTrue="1">
      <formula>$A110&lt;&gt;"S"</formula>
    </cfRule>
  </conditionalFormatting>
  <conditionalFormatting sqref="D117:O117 T117:Z117">
    <cfRule type="expression" dxfId="43" priority="46" stopIfTrue="1">
      <formula>OR(ACOMPANHAMENTO="PLE",TIPOORCAMENTO="Proposto",$L117&lt;0,AND($L117&gt;100,RegimeExecucao="Global"),$O117&gt;$I117,$O117&lt;0)</formula>
    </cfRule>
    <cfRule type="expression" dxfId="42" priority="47" stopIfTrue="1">
      <formula>$A117=1</formula>
    </cfRule>
    <cfRule type="expression" dxfId="41" priority="48" stopIfTrue="1">
      <formula>$A117&lt;&gt;"S"</formula>
    </cfRule>
  </conditionalFormatting>
  <conditionalFormatting sqref="Q117:R117 AB117:AM117">
    <cfRule type="expression" dxfId="40" priority="49" stopIfTrue="1">
      <formula>$A117=1</formula>
    </cfRule>
    <cfRule type="expression" dxfId="39" priority="50" stopIfTrue="1">
      <formula>$A117&lt;&gt;"S"</formula>
    </cfRule>
  </conditionalFormatting>
  <conditionalFormatting sqref="D59:O59 T59:Z59">
    <cfRule type="expression" dxfId="38" priority="41" stopIfTrue="1">
      <formula>OR(ACOMPANHAMENTO="PLE",TIPOORCAMENTO="Proposto",$L59&lt;0,AND($L59&gt;100,RegimeExecucao="Global"),$O59&gt;$I59,$O59&lt;0)</formula>
    </cfRule>
    <cfRule type="expression" dxfId="37" priority="42" stopIfTrue="1">
      <formula>$A59=1</formula>
    </cfRule>
    <cfRule type="expression" dxfId="36" priority="43" stopIfTrue="1">
      <formula>$A59&lt;&gt;"S"</formula>
    </cfRule>
  </conditionalFormatting>
  <conditionalFormatting sqref="Q59:R59 AB59:AM59">
    <cfRule type="expression" dxfId="35" priority="44" stopIfTrue="1">
      <formula>$A59=1</formula>
    </cfRule>
    <cfRule type="expression" dxfId="34" priority="45" stopIfTrue="1">
      <formula>$A59&lt;&gt;"S"</formula>
    </cfRule>
  </conditionalFormatting>
  <conditionalFormatting sqref="D91:O91 T91:Z91">
    <cfRule type="expression" dxfId="33" priority="36" stopIfTrue="1">
      <formula>OR(ACOMPANHAMENTO="PLE",TIPOORCAMENTO="Proposto",$L91&lt;0,AND($L91&gt;100,RegimeExecucao="Global"),$O91&gt;$I91,$O91&lt;0)</formula>
    </cfRule>
    <cfRule type="expression" dxfId="32" priority="37" stopIfTrue="1">
      <formula>$A91=1</formula>
    </cfRule>
    <cfRule type="expression" dxfId="31" priority="38" stopIfTrue="1">
      <formula>$A91&lt;&gt;"S"</formula>
    </cfRule>
  </conditionalFormatting>
  <conditionalFormatting sqref="Q91:R91 AB91:AM91">
    <cfRule type="expression" dxfId="30" priority="39" stopIfTrue="1">
      <formula>$A91=1</formula>
    </cfRule>
    <cfRule type="expression" dxfId="29" priority="40" stopIfTrue="1">
      <formula>$A91&lt;&gt;"S"</formula>
    </cfRule>
  </conditionalFormatting>
  <conditionalFormatting sqref="D23:O23 T23:Z23">
    <cfRule type="expression" dxfId="28" priority="16" stopIfTrue="1">
      <formula>OR(ACOMPANHAMENTO="PLE",TIPOORCAMENTO="Proposto",$L23&lt;0,AND($L23&gt;100,RegimeExecucao="Global"),$O23&gt;$I23,$O23&lt;0)</formula>
    </cfRule>
    <cfRule type="expression" dxfId="27" priority="17" stopIfTrue="1">
      <formula>$A23=1</formula>
    </cfRule>
    <cfRule type="expression" dxfId="26" priority="18" stopIfTrue="1">
      <formula>$A23&lt;&gt;"S"</formula>
    </cfRule>
  </conditionalFormatting>
  <conditionalFormatting sqref="Q23:R23 AB23:AM23">
    <cfRule type="expression" dxfId="25" priority="19" stopIfTrue="1">
      <formula>$A23=1</formula>
    </cfRule>
    <cfRule type="expression" dxfId="24" priority="20" stopIfTrue="1">
      <formula>$A23&lt;&gt;"S"</formula>
    </cfRule>
  </conditionalFormatting>
  <conditionalFormatting sqref="D42:O42 T42:Z42">
    <cfRule type="expression" dxfId="23" priority="11" stopIfTrue="1">
      <formula>OR(ACOMPANHAMENTO="PLE",TIPOORCAMENTO="Proposto",$L42&lt;0,AND($L42&gt;100,RegimeExecucao="Global"),$O42&gt;$I42,$O42&lt;0)</formula>
    </cfRule>
    <cfRule type="expression" dxfId="22" priority="12" stopIfTrue="1">
      <formula>$A42=1</formula>
    </cfRule>
    <cfRule type="expression" dxfId="21" priority="13" stopIfTrue="1">
      <formula>$A42&lt;&gt;"S"</formula>
    </cfRule>
  </conditionalFormatting>
  <conditionalFormatting sqref="Q42:R42 AB42:AM42">
    <cfRule type="expression" dxfId="20" priority="14" stopIfTrue="1">
      <formula>$A42=1</formula>
    </cfRule>
    <cfRule type="expression" dxfId="19" priority="15" stopIfTrue="1">
      <formula>$A42&lt;&gt;"S"</formula>
    </cfRule>
  </conditionalFormatting>
  <conditionalFormatting sqref="D78:O78 T78:Z78">
    <cfRule type="expression" dxfId="18" priority="6" stopIfTrue="1">
      <formula>OR(ACOMPANHAMENTO="PLE",TIPOORCAMENTO="Proposto",$L78&lt;0,AND($L78&gt;100,RegimeExecucao="Global"),$O78&gt;$I78,$O78&lt;0)</formula>
    </cfRule>
    <cfRule type="expression" dxfId="17" priority="7" stopIfTrue="1">
      <formula>$A78=1</formula>
    </cfRule>
    <cfRule type="expression" dxfId="16" priority="8" stopIfTrue="1">
      <formula>$A78&lt;&gt;"S"</formula>
    </cfRule>
  </conditionalFormatting>
  <conditionalFormatting sqref="Q78:R78 AB78:AM78">
    <cfRule type="expression" dxfId="15" priority="9" stopIfTrue="1">
      <formula>$A78=1</formula>
    </cfRule>
    <cfRule type="expression" dxfId="14" priority="10" stopIfTrue="1">
      <formula>$A78&lt;&gt;"S"</formula>
    </cfRule>
  </conditionalFormatting>
  <conditionalFormatting sqref="D109:O109 T109:Z109">
    <cfRule type="expression" dxfId="13" priority="1" stopIfTrue="1">
      <formula>OR(ACOMPANHAMENTO="PLE",TIPOORCAMENTO="Proposto",$L109&lt;0,AND($L109&gt;100,RegimeExecucao="Global"),$O109&gt;$I109,$O109&lt;0)</formula>
    </cfRule>
    <cfRule type="expression" dxfId="12" priority="2" stopIfTrue="1">
      <formula>$A109=1</formula>
    </cfRule>
    <cfRule type="expression" dxfId="11" priority="3" stopIfTrue="1">
      <formula>$A109&lt;&gt;"S"</formula>
    </cfRule>
  </conditionalFormatting>
  <conditionalFormatting sqref="Q109:R109 AB109:AM109">
    <cfRule type="expression" dxfId="10" priority="4" stopIfTrue="1">
      <formula>$A109=1</formula>
    </cfRule>
    <cfRule type="expression" dxfId="9" priority="5" stopIfTrue="1">
      <formula>$A109&lt;&gt;"S"</formula>
    </cfRule>
  </conditionalFormatting>
  <dataValidations count="4">
    <dataValidation type="list" allowBlank="1" showErrorMessage="1" sqref="Z14 Z16:Z118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118">
      <formula1>0</formula1>
      <formula2>BM.MEDAcumulado</formula2>
    </dataValidation>
    <dataValidation type="whole" operator="greaterThan" allowBlank="1" showInputMessage="1" showErrorMessage="1" sqref="O8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118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22" t="s">
        <v>147</v>
      </c>
      <c r="F3" s="622"/>
      <c r="G3" s="622"/>
      <c r="H3" s="622"/>
      <c r="I3" s="585" t="s">
        <v>146</v>
      </c>
      <c r="J3" s="585"/>
      <c r="K3" s="585"/>
      <c r="L3" s="89" t="s">
        <v>443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20" t="str">
        <f>Import.Proponente</f>
        <v>PREFEITURA MUNICIPAL</v>
      </c>
      <c r="F4" s="620"/>
      <c r="G4" s="620"/>
      <c r="H4" s="620"/>
      <c r="I4" s="582">
        <f>Import.CR</f>
        <v>0</v>
      </c>
      <c r="J4" s="582"/>
      <c r="K4" s="582"/>
      <c r="L4" s="57">
        <f>Import.TransfereGOV</f>
        <v>0</v>
      </c>
      <c r="M4" s="703" t="s">
        <v>307</v>
      </c>
      <c r="N4" s="704"/>
      <c r="O4" s="705"/>
      <c r="P4" s="397" t="str">
        <f>import.recurso</f>
        <v>(SELECIONAR)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585" t="s">
        <v>202</v>
      </c>
      <c r="F6" s="585"/>
      <c r="G6" s="585"/>
      <c r="H6" s="585"/>
      <c r="I6" s="691" t="s">
        <v>306</v>
      </c>
      <c r="J6" s="691"/>
      <c r="K6" s="691"/>
      <c r="L6" s="691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611" t="s">
        <v>209</v>
      </c>
      <c r="E7" s="582" t="str">
        <f>Import.Apelido</f>
        <v>PAVIMENTAÇÃO ASFÁLTICA</v>
      </c>
      <c r="F7" s="582"/>
      <c r="G7" s="582"/>
      <c r="H7" s="582"/>
      <c r="I7" s="692" t="str">
        <f>Import.Município</f>
        <v>CÂNDIDO GODÓI</v>
      </c>
      <c r="J7" s="692"/>
      <c r="K7" s="692"/>
      <c r="L7" s="692"/>
      <c r="M7" s="399">
        <f>Import.Repasse</f>
        <v>0</v>
      </c>
      <c r="N7" s="400">
        <f>Import.Contrapartida</f>
        <v>0</v>
      </c>
      <c r="O7" s="399">
        <f>M7+N7</f>
        <v>0</v>
      </c>
      <c r="P7" s="491">
        <f ca="1">IF(ACOMPANHAMENTO="PLE",PLE.Medicao,BM.medicao)</f>
        <v>1</v>
      </c>
      <c r="R7" s="152"/>
      <c r="S7" s="152"/>
      <c r="T7" s="152"/>
      <c r="U7" s="152"/>
    </row>
    <row r="8" spans="1:41" x14ac:dyDescent="0.2">
      <c r="D8" s="611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611"/>
      <c r="G9" s="693" t="s">
        <v>361</v>
      </c>
      <c r="H9" s="693"/>
      <c r="I9" s="693" t="s">
        <v>362</v>
      </c>
      <c r="J9" s="693"/>
      <c r="K9" s="401"/>
      <c r="L9" s="694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611"/>
      <c r="G10" s="584" t="str">
        <f ca="1">IF(J10="-","-",IF($P$24&lt;J10,"Atrasada",IF($P$24&gt;J10,"Adiantada","Normal")))</f>
        <v>Atrasada</v>
      </c>
      <c r="H10" s="584"/>
      <c r="I10" s="404">
        <f ca="1">DATE(YEAR($L$35),MONTH($L$35),1)</f>
        <v>46023</v>
      </c>
      <c r="J10" s="405">
        <f ca="1">IF($I$10&lt;DATE(YEAR(CRONO!$T$13),MONTH(CRONO!$T$13),1),0,IF($I$10&gt;CRONO!$AE$13,1,INDEX(CRONO!$S$74:$AG$74,MATCH(RRE!$I$10,CRONO!$S$13:$AG$13,0))))</f>
        <v>1</v>
      </c>
      <c r="K10" s="401"/>
      <c r="L10" s="694"/>
      <c r="M10" s="406">
        <f ca="1">QCI!L10</f>
        <v>0</v>
      </c>
      <c r="N10" s="321">
        <f ca="1">QCI!M10</f>
        <v>-1436876.3199999998</v>
      </c>
      <c r="P10" s="403"/>
      <c r="R10" s="152"/>
      <c r="S10" s="152"/>
      <c r="T10" s="152"/>
      <c r="U10" s="152"/>
      <c r="AC10" s="695" t="s">
        <v>364</v>
      </c>
      <c r="AD10" s="695"/>
      <c r="AE10" s="695"/>
      <c r="AF10" s="695"/>
      <c r="AG10" s="695"/>
      <c r="AH10" s="695"/>
      <c r="AJ10" s="695" t="s">
        <v>4</v>
      </c>
      <c r="AK10" s="695"/>
      <c r="AL10" s="695"/>
      <c r="AM10" s="695"/>
      <c r="AN10" s="695"/>
      <c r="AO10" s="695"/>
    </row>
    <row r="11" spans="1:41" ht="20.100000000000001" customHeight="1" x14ac:dyDescent="0.2">
      <c r="D11" s="611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411</v>
      </c>
      <c r="Y11" s="696" t="str">
        <f>IF(CAIXA.Modo,"Valores Aferidos (R$)","Valores Medidos (R$)")</f>
        <v>Valores Medidos (R$)</v>
      </c>
      <c r="Z11" s="696"/>
      <c r="AC11" s="697" t="s">
        <v>365</v>
      </c>
      <c r="AD11" s="697"/>
      <c r="AE11" s="697"/>
      <c r="AF11" s="697" t="s">
        <v>366</v>
      </c>
      <c r="AG11" s="697"/>
      <c r="AH11" s="697"/>
      <c r="AJ11" s="697" t="s">
        <v>365</v>
      </c>
      <c r="AK11" s="697"/>
      <c r="AL11" s="697"/>
      <c r="AM11" s="697" t="s">
        <v>366</v>
      </c>
      <c r="AN11" s="697"/>
      <c r="AO11" s="697"/>
    </row>
    <row r="12" spans="1:41" hidden="1" x14ac:dyDescent="0.2">
      <c r="A12" t="e">
        <f ca="1">MATCH(E12,ORÇAMENTO!$E$15:$E$119,0)-1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9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9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9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9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9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99" t="e">
        <f ca="1">IF(ACOMPANHAMENTO&lt;&gt;"BM",0,SUMPRODUCT(OFFSET(BM!$M$15,$A12,0,$B12)*(OFFSET(BM!$A$15,$A12,0,$B12)="S")*OFFSET(ORÇAMENTO!AA$15,$A12,0,$B12)/(OFFSET(ORÇAMENTO!$X$15,$A12,0,$B12)+10^-12)))</f>
        <v>#N/A</v>
      </c>
      <c r="AK12" s="199" t="e">
        <f ca="1">IF(ACOMPANHAMENTO&lt;&gt;"BM",0,SUMPRODUCT(OFFSET(BM!$M$15,$A12,0,$B12)*(OFFSET(BM!$A$15,$A12,0,$B12)="S")*OFFSET(ORÇAMENTO!AB$15,$A12,0,$B12)/(OFFSET(ORÇAMENTO!$X$15,$A12,0,$B12)+10^-12)))</f>
        <v>#N/A</v>
      </c>
      <c r="AL12" s="199" t="e">
        <f ca="1">IF(ACOMPANHAMENTO&lt;&gt;"BM",0,OFFSET(BM!$M$15,$A12,0))</f>
        <v>#N/A</v>
      </c>
      <c r="AM12" s="199" t="e">
        <f ca="1">IF(ACOMPANHAMENTO&lt;&gt;"BM",0,SUMPRODUCT(OFFSET(BM!$O$15,$A12,0,$B12)*(OFFSET(BM!$A$15,$A12,0,$B12)="S")*OFFSET(ORÇAMENTO!AA$15,$A12,0,$B12)/(OFFSET(ORÇAMENTO!$X$15,$A12,0,$B12)+10^-12)))</f>
        <v>#N/A</v>
      </c>
      <c r="AN12" s="199" t="e">
        <f ca="1">IF(ACOMPANHAMENTO&lt;&gt;"BM",0,SUMPRODUCT(OFFSET(BM!$O$15,$A12,0,$B12)*(OFFSET(BM!$A$15,$A12,0,$B12)="S")*OFFSET(ORÇAMENTO!AB$15,$A12,0,$B12)/(OFFSET(ORÇAMENTO!$X$15,$A12,0,$B12)+10^-12)))</f>
        <v>#N/A</v>
      </c>
      <c r="AO12" s="199" t="e">
        <f ca="1">IF(ACOMPANHAMENTO&lt;&gt;"BM",0,OFFSET(BM!$O$15,$A12,0))</f>
        <v>#N/A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>
        <f ca="1">MATCH(E14,ORÇAMENTO!$E$15:$E$119,0)-1</f>
        <v>1</v>
      </c>
      <c r="B14">
        <f ca="1">IF(ISERROR($A14),NA(),OFFSET(ORÇAMENTO!$D$15,$A14,0))</f>
        <v>39</v>
      </c>
      <c r="C14" t="str">
        <f ca="1">QCI!B14</f>
        <v>Automático</v>
      </c>
      <c r="D14" t="str">
        <f t="shared" ref="D14:D22" ca="1" si="0">IF(L14&gt;0,"F","")</f>
        <v>F</v>
      </c>
      <c r="E14" s="322">
        <f>QCI!D14</f>
        <v>1</v>
      </c>
      <c r="F14" s="408" t="str">
        <f ca="1">QCI!G14</f>
        <v>TRECHO 01 - Rua João XXIII e Loureiro da Silva</v>
      </c>
      <c r="G14" s="409">
        <f>QCI!H14</f>
        <v>0</v>
      </c>
      <c r="H14" s="287">
        <f>QCI!I14</f>
        <v>0</v>
      </c>
      <c r="I14" s="323" t="str">
        <f ca="1">QCI!J14</f>
        <v/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570193.64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1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>
        <f ca="1">MATCH(E15,ORÇAMENTO!$E$15:$E$119,0)-1</f>
        <v>40</v>
      </c>
      <c r="B15">
        <f ca="1">IF(ISERROR($A15),NA(),OFFSET(ORÇAMENTO!$D$15,$A15,0))</f>
        <v>32</v>
      </c>
      <c r="C15" t="str">
        <f ca="1">QCI!B15</f>
        <v>Automático</v>
      </c>
      <c r="D15" t="str">
        <f t="shared" ca="1" si="0"/>
        <v>F</v>
      </c>
      <c r="E15" s="322">
        <f>QCI!D15</f>
        <v>2</v>
      </c>
      <c r="F15" s="408" t="str">
        <f ca="1">QCI!G15</f>
        <v>TRECHO 2 - Rua Presidente Castelo Branco e Travessa Dom Pedro II</v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>LOTE 1</v>
      </c>
      <c r="K15" s="411">
        <f ca="1">IF($C15="Automático",IF(ACOMPANHAMENTO="BM",BM.medicao,PLE.Medicao),IF(ISBLANK($X15),"",$X15))</f>
        <v>1</v>
      </c>
      <c r="L15" s="327">
        <f ca="1">QCI!$O15</f>
        <v>492496.24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1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>
        <f ca="1">IF(ACOMPANHAMENTO&lt;&gt;"BM",0,SUMPRODUCT(OFFSET(BM!$M$15,$A15,0,$B15)*(OFFSET(BM!$A$15,$A15,0,$B15)="S")*OFFSET(ORÇAMENTO!AA$15,$A15,0,$B15)/(OFFSET(ORÇAMENTO!$X$15,$A15,0,$B15)+10^-12)))</f>
        <v>0</v>
      </c>
      <c r="AK15" s="199">
        <f ca="1">IF(ACOMPANHAMENTO&lt;&gt;"BM",0,SUMPRODUCT(OFFSET(BM!$M$15,$A15,0,$B15)*(OFFSET(BM!$A$15,$A15,0,$B15)="S")*OFFSET(ORÇAMENTO!AB$15,$A15,0,$B15)/(OFFSET(ORÇAMENTO!$X$15,$A15,0,$B15)+10^-12)))</f>
        <v>0</v>
      </c>
      <c r="AL15" s="199">
        <f ca="1">IF(ACOMPANHAMENTO&lt;&gt;"BM",0,OFFSET(BM!$M$15,$A15,0))</f>
        <v>0</v>
      </c>
      <c r="AM15" s="199">
        <f ca="1">IF(ACOMPANHAMENTO&lt;&gt;"BM",0,SUMPRODUCT(OFFSET(BM!$O$15,$A15,0,$B15)*(OFFSET(BM!$A$15,$A15,0,$B15)="S")*OFFSET(ORÇAMENTO!AA$15,$A15,0,$B15)/(OFFSET(ORÇAMENTO!$X$15,$A15,0,$B15)+10^-12)))</f>
        <v>0</v>
      </c>
      <c r="AN15" s="199">
        <f ca="1">IF(ACOMPANHAMENTO&lt;&gt;"BM",0,SUMPRODUCT(OFFSET(BM!$O$15,$A15,0,$B15)*(OFFSET(BM!$A$15,$A15,0,$B15)="S")*OFFSET(ORÇAMENTO!AB$15,$A15,0,$B15)/(OFFSET(ORÇAMENTO!$X$15,$A15,0,$B15)+10^-12)))</f>
        <v>0</v>
      </c>
      <c r="AO15" s="199">
        <f ca="1">IF(ACOMPANHAMENTO&lt;&gt;"BM",0,OFFSET(BM!$O$15,$A15,0))</f>
        <v>0</v>
      </c>
    </row>
    <row r="16" spans="1:41" x14ac:dyDescent="0.2">
      <c r="A16">
        <f ca="1">MATCH(E16,ORÇAMENTO!$E$15:$E$119,0)-1</f>
        <v>72</v>
      </c>
      <c r="B16">
        <f ca="1">IF(ISERROR($A16),NA(),OFFSET(ORÇAMENTO!$D$15,$A16,0))</f>
        <v>32</v>
      </c>
      <c r="C16" t="str">
        <f ca="1">QCI!B16</f>
        <v>Automático</v>
      </c>
      <c r="D16" t="str">
        <f t="shared" ca="1" si="0"/>
        <v>F</v>
      </c>
      <c r="E16" s="322">
        <f>QCI!D16</f>
        <v>3</v>
      </c>
      <c r="F16" s="408" t="str">
        <f ca="1">QCI!G16</f>
        <v>TRECHO 03 - Rua Presidente Castelo Branco</v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>LOTE 1</v>
      </c>
      <c r="K16" s="411">
        <f ca="1">IF($C16="Automático",IF(ACOMPANHAMENTO="BM",BM.medicao,PLE.Medicao),IF(ISBLANK($X16),"",$X16))</f>
        <v>1</v>
      </c>
      <c r="L16" s="327">
        <f ca="1">QCI!$O16</f>
        <v>374186.44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1</v>
      </c>
      <c r="X16" s="328"/>
      <c r="Y16" s="329"/>
      <c r="Z16" s="331"/>
      <c r="AC16" s="19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9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9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9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9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9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99">
        <f ca="1">IF(ACOMPANHAMENTO&lt;&gt;"BM",0,SUMPRODUCT(OFFSET(BM!$M$15,$A16,0,$B16)*(OFFSET(BM!$A$15,$A16,0,$B16)="S")*OFFSET(ORÇAMENTO!AA$15,$A16,0,$B16)/(OFFSET(ORÇAMENTO!$X$15,$A16,0,$B16)+10^-12)))</f>
        <v>0</v>
      </c>
      <c r="AK16" s="199">
        <f ca="1">IF(ACOMPANHAMENTO&lt;&gt;"BM",0,SUMPRODUCT(OFFSET(BM!$M$15,$A16,0,$B16)*(OFFSET(BM!$A$15,$A16,0,$B16)="S")*OFFSET(ORÇAMENTO!AB$15,$A16,0,$B16)/(OFFSET(ORÇAMENTO!$X$15,$A16,0,$B16)+10^-12)))</f>
        <v>0</v>
      </c>
      <c r="AL16" s="199">
        <f ca="1">IF(ACOMPANHAMENTO&lt;&gt;"BM",0,OFFSET(BM!$M$15,$A16,0))</f>
        <v>0</v>
      </c>
      <c r="AM16" s="199">
        <f ca="1">IF(ACOMPANHAMENTO&lt;&gt;"BM",0,SUMPRODUCT(OFFSET(BM!$O$15,$A16,0,$B16)*(OFFSET(BM!$A$15,$A16,0,$B16)="S")*OFFSET(ORÇAMENTO!AA$15,$A16,0,$B16)/(OFFSET(ORÇAMENTO!$X$15,$A16,0,$B16)+10^-12)))</f>
        <v>0</v>
      </c>
      <c r="AN16" s="199">
        <f ca="1">IF(ACOMPANHAMENTO&lt;&gt;"BM",0,SUMPRODUCT(OFFSET(BM!$O$15,$A16,0,$B16)*(OFFSET(BM!$A$15,$A16,0,$B16)="S")*OFFSET(ORÇAMENTO!AB$15,$A16,0,$B16)/(OFFSET(ORÇAMENTO!$X$15,$A16,0,$B16)+10^-12)))</f>
        <v>0</v>
      </c>
      <c r="AO16" s="199">
        <f ca="1">IF(ACOMPANHAMENTO&lt;&gt;"BM",0,OFFSET(BM!$O$15,$A16,0))</f>
        <v>0</v>
      </c>
    </row>
    <row r="17" spans="1:41" x14ac:dyDescent="0.2">
      <c r="A17" t="e">
        <f ca="1">MATCH(E17,ORÇAMENTO!$E$15:$E$119,0)-1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1</v>
      </c>
      <c r="X17" s="328"/>
      <c r="Y17" s="329"/>
      <c r="Z17" s="331"/>
      <c r="AC17" s="19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9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9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9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9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9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99" t="e">
        <f ca="1">IF(ACOMPANHAMENTO&lt;&gt;"BM",0,SUMPRODUCT(OFFSET(BM!$M$15,$A17,0,$B17)*(OFFSET(BM!$A$15,$A17,0,$B17)="S")*OFFSET(ORÇAMENTO!AA$15,$A17,0,$B17)/(OFFSET(ORÇAMENTO!$X$15,$A17,0,$B17)+10^-12)))</f>
        <v>#N/A</v>
      </c>
      <c r="AK17" s="199" t="e">
        <f ca="1">IF(ACOMPANHAMENTO&lt;&gt;"BM",0,SUMPRODUCT(OFFSET(BM!$M$15,$A17,0,$B17)*(OFFSET(BM!$A$15,$A17,0,$B17)="S")*OFFSET(ORÇAMENTO!AB$15,$A17,0,$B17)/(OFFSET(ORÇAMENTO!$X$15,$A17,0,$B17)+10^-12)))</f>
        <v>#N/A</v>
      </c>
      <c r="AL17" s="199" t="e">
        <f ca="1">IF(ACOMPANHAMENTO&lt;&gt;"BM",0,OFFSET(BM!$M$15,$A17,0))</f>
        <v>#N/A</v>
      </c>
      <c r="AM17" s="199" t="e">
        <f ca="1">IF(ACOMPANHAMENTO&lt;&gt;"BM",0,SUMPRODUCT(OFFSET(BM!$O$15,$A17,0,$B17)*(OFFSET(BM!$A$15,$A17,0,$B17)="S")*OFFSET(ORÇAMENTO!AA$15,$A17,0,$B17)/(OFFSET(ORÇAMENTO!$X$15,$A17,0,$B17)+10^-12)))</f>
        <v>#N/A</v>
      </c>
      <c r="AN17" s="199" t="e">
        <f ca="1">IF(ACOMPANHAMENTO&lt;&gt;"BM",0,SUMPRODUCT(OFFSET(BM!$O$15,$A17,0,$B17)*(OFFSET(BM!$A$15,$A17,0,$B17)="S")*OFFSET(ORÇAMENTO!AB$15,$A17,0,$B17)/(OFFSET(ORÇAMENTO!$X$15,$A17,0,$B17)+10^-12)))</f>
        <v>#N/A</v>
      </c>
      <c r="AO17" s="199" t="e">
        <f ca="1">IF(ACOMPANHAMENTO&lt;&gt;"BM",0,OFFSET(BM!$O$15,$A17,0))</f>
        <v>#N/A</v>
      </c>
    </row>
    <row r="18" spans="1:41" x14ac:dyDescent="0.2">
      <c r="A18" t="e">
        <f ca="1">MATCH(E18,ORÇAMENTO!$E$15:$E$119,0)-1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1</v>
      </c>
      <c r="X18" s="328"/>
      <c r="Y18" s="329"/>
      <c r="Z18" s="331"/>
      <c r="AC18" s="19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9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9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9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9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9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99" t="e">
        <f ca="1">IF(ACOMPANHAMENTO&lt;&gt;"BM",0,SUMPRODUCT(OFFSET(BM!$M$15,$A18,0,$B18)*(OFFSET(BM!$A$15,$A18,0,$B18)="S")*OFFSET(ORÇAMENTO!AA$15,$A18,0,$B18)/(OFFSET(ORÇAMENTO!$X$15,$A18,0,$B18)+10^-12)))</f>
        <v>#N/A</v>
      </c>
      <c r="AK18" s="199" t="e">
        <f ca="1">IF(ACOMPANHAMENTO&lt;&gt;"BM",0,SUMPRODUCT(OFFSET(BM!$M$15,$A18,0,$B18)*(OFFSET(BM!$A$15,$A18,0,$B18)="S")*OFFSET(ORÇAMENTO!AB$15,$A18,0,$B18)/(OFFSET(ORÇAMENTO!$X$15,$A18,0,$B18)+10^-12)))</f>
        <v>#N/A</v>
      </c>
      <c r="AL18" s="199" t="e">
        <f ca="1">IF(ACOMPANHAMENTO&lt;&gt;"BM",0,OFFSET(BM!$M$15,$A18,0))</f>
        <v>#N/A</v>
      </c>
      <c r="AM18" s="199" t="e">
        <f ca="1">IF(ACOMPANHAMENTO&lt;&gt;"BM",0,SUMPRODUCT(OFFSET(BM!$O$15,$A18,0,$B18)*(OFFSET(BM!$A$15,$A18,0,$B18)="S")*OFFSET(ORÇAMENTO!AA$15,$A18,0,$B18)/(OFFSET(ORÇAMENTO!$X$15,$A18,0,$B18)+10^-12)))</f>
        <v>#N/A</v>
      </c>
      <c r="AN18" s="199" t="e">
        <f ca="1">IF(ACOMPANHAMENTO&lt;&gt;"BM",0,SUMPRODUCT(OFFSET(BM!$O$15,$A18,0,$B18)*(OFFSET(BM!$A$15,$A18,0,$B18)="S")*OFFSET(ORÇAMENTO!AB$15,$A18,0,$B18)/(OFFSET(ORÇAMENTO!$X$15,$A18,0,$B18)+10^-12)))</f>
        <v>#N/A</v>
      </c>
      <c r="AO18" s="199" t="e">
        <f ca="1">IF(ACOMPANHAMENTO&lt;&gt;"BM",0,OFFSET(BM!$O$15,$A18,0))</f>
        <v>#N/A</v>
      </c>
    </row>
    <row r="19" spans="1:41" x14ac:dyDescent="0.2">
      <c r="A19" t="e">
        <f ca="1">MATCH(E19,ORÇAMENTO!$E$15:$E$119,0)-1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1</v>
      </c>
      <c r="X19" s="328"/>
      <c r="Y19" s="329"/>
      <c r="Z19" s="331"/>
      <c r="AC19" s="19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9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9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9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9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9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99" t="e">
        <f ca="1">IF(ACOMPANHAMENTO&lt;&gt;"BM",0,SUMPRODUCT(OFFSET(BM!$M$15,$A19,0,$B19)*(OFFSET(BM!$A$15,$A19,0,$B19)="S")*OFFSET(ORÇAMENTO!AA$15,$A19,0,$B19)/(OFFSET(ORÇAMENTO!$X$15,$A19,0,$B19)+10^-12)))</f>
        <v>#N/A</v>
      </c>
      <c r="AK19" s="199" t="e">
        <f ca="1">IF(ACOMPANHAMENTO&lt;&gt;"BM",0,SUMPRODUCT(OFFSET(BM!$M$15,$A19,0,$B19)*(OFFSET(BM!$A$15,$A19,0,$B19)="S")*OFFSET(ORÇAMENTO!AB$15,$A19,0,$B19)/(OFFSET(ORÇAMENTO!$X$15,$A19,0,$B19)+10^-12)))</f>
        <v>#N/A</v>
      </c>
      <c r="AL19" s="199" t="e">
        <f ca="1">IF(ACOMPANHAMENTO&lt;&gt;"BM",0,OFFSET(BM!$M$15,$A19,0))</f>
        <v>#N/A</v>
      </c>
      <c r="AM19" s="199" t="e">
        <f ca="1">IF(ACOMPANHAMENTO&lt;&gt;"BM",0,SUMPRODUCT(OFFSET(BM!$O$15,$A19,0,$B19)*(OFFSET(BM!$A$15,$A19,0,$B19)="S")*OFFSET(ORÇAMENTO!AA$15,$A19,0,$B19)/(OFFSET(ORÇAMENTO!$X$15,$A19,0,$B19)+10^-12)))</f>
        <v>#N/A</v>
      </c>
      <c r="AN19" s="199" t="e">
        <f ca="1">IF(ACOMPANHAMENTO&lt;&gt;"BM",0,SUMPRODUCT(OFFSET(BM!$O$15,$A19,0,$B19)*(OFFSET(BM!$A$15,$A19,0,$B19)="S")*OFFSET(ORÇAMENTO!AB$15,$A19,0,$B19)/(OFFSET(ORÇAMENTO!$X$15,$A19,0,$B19)+10^-12)))</f>
        <v>#N/A</v>
      </c>
      <c r="AO19" s="199" t="e">
        <f ca="1">IF(ACOMPANHAMENTO&lt;&gt;"BM",0,OFFSET(BM!$O$15,$A19,0))</f>
        <v>#N/A</v>
      </c>
    </row>
    <row r="20" spans="1:41" x14ac:dyDescent="0.2">
      <c r="A20" t="e">
        <f ca="1">MATCH(E20,ORÇAMENTO!$E$15:$E$119,0)-1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1</v>
      </c>
      <c r="X20" s="328"/>
      <c r="Y20" s="329"/>
      <c r="Z20" s="331"/>
      <c r="AC20" s="19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9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9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9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9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9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99" t="e">
        <f ca="1">IF(ACOMPANHAMENTO&lt;&gt;"BM",0,SUMPRODUCT(OFFSET(BM!$M$15,$A20,0,$B20)*(OFFSET(BM!$A$15,$A20,0,$B20)="S")*OFFSET(ORÇAMENTO!AA$15,$A20,0,$B20)/(OFFSET(ORÇAMENTO!$X$15,$A20,0,$B20)+10^-12)))</f>
        <v>#N/A</v>
      </c>
      <c r="AK20" s="199" t="e">
        <f ca="1">IF(ACOMPANHAMENTO&lt;&gt;"BM",0,SUMPRODUCT(OFFSET(BM!$M$15,$A20,0,$B20)*(OFFSET(BM!$A$15,$A20,0,$B20)="S")*OFFSET(ORÇAMENTO!AB$15,$A20,0,$B20)/(OFFSET(ORÇAMENTO!$X$15,$A20,0,$B20)+10^-12)))</f>
        <v>#N/A</v>
      </c>
      <c r="AL20" s="199" t="e">
        <f ca="1">IF(ACOMPANHAMENTO&lt;&gt;"BM",0,OFFSET(BM!$M$15,$A20,0))</f>
        <v>#N/A</v>
      </c>
      <c r="AM20" s="199" t="e">
        <f ca="1">IF(ACOMPANHAMENTO&lt;&gt;"BM",0,SUMPRODUCT(OFFSET(BM!$O$15,$A20,0,$B20)*(OFFSET(BM!$A$15,$A20,0,$B20)="S")*OFFSET(ORÇAMENTO!AA$15,$A20,0,$B20)/(OFFSET(ORÇAMENTO!$X$15,$A20,0,$B20)+10^-12)))</f>
        <v>#N/A</v>
      </c>
      <c r="AN20" s="199" t="e">
        <f ca="1">IF(ACOMPANHAMENTO&lt;&gt;"BM",0,SUMPRODUCT(OFFSET(BM!$O$15,$A20,0,$B20)*(OFFSET(BM!$A$15,$A20,0,$B20)="S")*OFFSET(ORÇAMENTO!AB$15,$A20,0,$B20)/(OFFSET(ORÇAMENTO!$X$15,$A20,0,$B20)+10^-12)))</f>
        <v>#N/A</v>
      </c>
      <c r="AO20" s="199" t="e">
        <f ca="1">IF(ACOMPANHAMENTO&lt;&gt;"BM",0,OFFSET(BM!$O$15,$A20,0))</f>
        <v>#N/A</v>
      </c>
    </row>
    <row r="21" spans="1:41" x14ac:dyDescent="0.2">
      <c r="A21" t="e">
        <f ca="1">MATCH(E21,ORÇAMENTO!$E$15:$E$119,0)-1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1</v>
      </c>
      <c r="X21" s="328"/>
      <c r="Y21" s="329"/>
      <c r="Z21" s="331"/>
      <c r="AC21" s="19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9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9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9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9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9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99" t="e">
        <f ca="1">IF(ACOMPANHAMENTO&lt;&gt;"BM",0,SUMPRODUCT(OFFSET(BM!$M$15,$A21,0,$B21)*(OFFSET(BM!$A$15,$A21,0,$B21)="S")*OFFSET(ORÇAMENTO!AA$15,$A21,0,$B21)/(OFFSET(ORÇAMENTO!$X$15,$A21,0,$B21)+10^-12)))</f>
        <v>#N/A</v>
      </c>
      <c r="AK21" s="199" t="e">
        <f ca="1">IF(ACOMPANHAMENTO&lt;&gt;"BM",0,SUMPRODUCT(OFFSET(BM!$M$15,$A21,0,$B21)*(OFFSET(BM!$A$15,$A21,0,$B21)="S")*OFFSET(ORÇAMENTO!AB$15,$A21,0,$B21)/(OFFSET(ORÇAMENTO!$X$15,$A21,0,$B21)+10^-12)))</f>
        <v>#N/A</v>
      </c>
      <c r="AL21" s="199" t="e">
        <f ca="1">IF(ACOMPANHAMENTO&lt;&gt;"BM",0,OFFSET(BM!$M$15,$A21,0))</f>
        <v>#N/A</v>
      </c>
      <c r="AM21" s="199" t="e">
        <f ca="1">IF(ACOMPANHAMENTO&lt;&gt;"BM",0,SUMPRODUCT(OFFSET(BM!$O$15,$A21,0,$B21)*(OFFSET(BM!$A$15,$A21,0,$B21)="S")*OFFSET(ORÇAMENTO!AA$15,$A21,0,$B21)/(OFFSET(ORÇAMENTO!$X$15,$A21,0,$B21)+10^-12)))</f>
        <v>#N/A</v>
      </c>
      <c r="AN21" s="199" t="e">
        <f ca="1">IF(ACOMPANHAMENTO&lt;&gt;"BM",0,SUMPRODUCT(OFFSET(BM!$O$15,$A21,0,$B21)*(OFFSET(BM!$A$15,$A21,0,$B21)="S")*OFFSET(ORÇAMENTO!AB$15,$A21,0,$B21)/(OFFSET(ORÇAMENTO!$X$15,$A21,0,$B21)+10^-12)))</f>
        <v>#N/A</v>
      </c>
      <c r="AO21" s="199" t="e">
        <f ca="1">IF(ACOMPANHAMENTO&lt;&gt;"BM",0,OFFSET(BM!$O$15,$A21,0))</f>
        <v>#N/A</v>
      </c>
    </row>
    <row r="22" spans="1:41" x14ac:dyDescent="0.2">
      <c r="A22" t="e">
        <f ca="1">MATCH(E22,ORÇAMENTO!$E$15:$E$119,0)-1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1</v>
      </c>
      <c r="X22" s="328"/>
      <c r="Y22" s="329"/>
      <c r="Z22" s="331"/>
      <c r="AC22" s="19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9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9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9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9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9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99" t="e">
        <f ca="1">IF(ACOMPANHAMENTO&lt;&gt;"BM",0,SUMPRODUCT(OFFSET(BM!$M$15,$A22,0,$B22)*(OFFSET(BM!$A$15,$A22,0,$B22)="S")*OFFSET(ORÇAMENTO!AA$15,$A22,0,$B22)/(OFFSET(ORÇAMENTO!$X$15,$A22,0,$B22)+10^-12)))</f>
        <v>#N/A</v>
      </c>
      <c r="AK22" s="199" t="e">
        <f ca="1">IF(ACOMPANHAMENTO&lt;&gt;"BM",0,SUMPRODUCT(OFFSET(BM!$M$15,$A22,0,$B22)*(OFFSET(BM!$A$15,$A22,0,$B22)="S")*OFFSET(ORÇAMENTO!AB$15,$A22,0,$B22)/(OFFSET(ORÇAMENTO!$X$15,$A22,0,$B22)+10^-12)))</f>
        <v>#N/A</v>
      </c>
      <c r="AL22" s="199" t="e">
        <f ca="1">IF(ACOMPANHAMENTO&lt;&gt;"BM",0,OFFSET(BM!$M$15,$A22,0))</f>
        <v>#N/A</v>
      </c>
      <c r="AM22" s="199" t="e">
        <f ca="1">IF(ACOMPANHAMENTO&lt;&gt;"BM",0,SUMPRODUCT(OFFSET(BM!$O$15,$A22,0,$B22)*(OFFSET(BM!$A$15,$A22,0,$B22)="S")*OFFSET(ORÇAMENTO!AA$15,$A22,0,$B22)/(OFFSET(ORÇAMENTO!$X$15,$A22,0,$B22)+10^-12)))</f>
        <v>#N/A</v>
      </c>
      <c r="AN22" s="199" t="e">
        <f ca="1">IF(ACOMPANHAMENTO&lt;&gt;"BM",0,SUMPRODUCT(OFFSET(BM!$O$15,$A22,0,$B22)*(OFFSET(BM!$A$15,$A22,0,$B22)="S")*OFFSET(ORÇAMENTO!AB$15,$A22,0,$B22)/(OFFSET(ORÇAMENTO!$X$15,$A22,0,$B22)+10^-12)))</f>
        <v>#N/A</v>
      </c>
      <c r="AO22" s="199" t="e">
        <f ca="1">IF(ACOMPANHAMENTO&lt;&gt;"BM",0,OFFSET(BM!$O$15,$A22,0))</f>
        <v>#N/A</v>
      </c>
    </row>
    <row r="23" spans="1:41" x14ac:dyDescent="0.2">
      <c r="A23" t="e">
        <f ca="1">MATCH(E23,ORÇAMENTO!$E$15:$E$119,0)-1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1</v>
      </c>
      <c r="X23" s="328"/>
      <c r="Y23" s="329"/>
      <c r="Z23" s="331"/>
      <c r="AC23" s="19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9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9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9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9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9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99" t="e">
        <f ca="1">IF(ACOMPANHAMENTO&lt;&gt;"BM",0,SUMPRODUCT(OFFSET(BM!$M$15,$A23,0,$B23)*(OFFSET(BM!$A$15,$A23,0,$B23)="S")*OFFSET(ORÇAMENTO!AA$15,$A23,0,$B23)/(OFFSET(ORÇAMENTO!$X$15,$A23,0,$B23)+10^-12)))</f>
        <v>#N/A</v>
      </c>
      <c r="AK23" s="199" t="e">
        <f ca="1">IF(ACOMPANHAMENTO&lt;&gt;"BM",0,SUMPRODUCT(OFFSET(BM!$M$15,$A23,0,$B23)*(OFFSET(BM!$A$15,$A23,0,$B23)="S")*OFFSET(ORÇAMENTO!AB$15,$A23,0,$B23)/(OFFSET(ORÇAMENTO!$X$15,$A23,0,$B23)+10^-12)))</f>
        <v>#N/A</v>
      </c>
      <c r="AL23" s="199" t="e">
        <f ca="1">IF(ACOMPANHAMENTO&lt;&gt;"BM",0,OFFSET(BM!$M$15,$A23,0))</f>
        <v>#N/A</v>
      </c>
      <c r="AM23" s="199" t="e">
        <f ca="1">IF(ACOMPANHAMENTO&lt;&gt;"BM",0,SUMPRODUCT(OFFSET(BM!$O$15,$A23,0,$B23)*(OFFSET(BM!$A$15,$A23,0,$B23)="S")*OFFSET(ORÇAMENTO!AA$15,$A23,0,$B23)/(OFFSET(ORÇAMENTO!$X$15,$A23,0,$B23)+10^-12)))</f>
        <v>#N/A</v>
      </c>
      <c r="AN23" s="199" t="e">
        <f ca="1">IF(ACOMPANHAMENTO&lt;&gt;"BM",0,SUMPRODUCT(OFFSET(BM!$O$15,$A23,0,$B23)*(OFFSET(BM!$A$15,$A23,0,$B23)="S")*OFFSET(ORÇAMENTO!AB$15,$A23,0,$B23)/(OFFSET(ORÇAMENTO!$X$15,$A23,0,$B23)+10^-12)))</f>
        <v>#N/A</v>
      </c>
      <c r="AO23" s="199" t="e">
        <f ca="1">IF(ACOMPANHAMENTO&lt;&gt;"BM",0,OFFSET(BM!$O$15,$A23,0))</f>
        <v>#N/A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712" t="s">
        <v>376</v>
      </c>
      <c r="K24" s="713"/>
      <c r="L24" s="415">
        <f ca="1">IF(ISERROR(L28/$L28),0,ROUND(L28/$L28,4))</f>
        <v>1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14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15" t="str">
        <f>IF(import.recurso="FGTS","Financiamento","Repasse")</f>
        <v>Repasse</v>
      </c>
      <c r="K25" s="716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14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17" t="s">
        <v>381</v>
      </c>
      <c r="K26" s="718"/>
      <c r="L26" s="423">
        <f ca="1">QCI!M24</f>
        <v>1436876.3199999998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14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698" t="s">
        <v>358</v>
      </c>
      <c r="K27" s="699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14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700" t="s">
        <v>360</v>
      </c>
      <c r="K28" s="701"/>
      <c r="L28" s="434">
        <f ca="1">SUM(L13:OFFSET(L24,-1,0))</f>
        <v>1436876.3199999998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14"/>
      <c r="X28" s="359"/>
      <c r="Y28" s="361"/>
      <c r="Z28" s="362"/>
    </row>
    <row r="29" spans="1:41" x14ac:dyDescent="0.2">
      <c r="O29" s="702" t="str">
        <f ca="1">"Acumulado Anterior: "&amp;TEXT($M$28/($L$28+10^-12),"0,00%")</f>
        <v>Acumulado Anterior: 0,00%</v>
      </c>
      <c r="P29" s="702"/>
    </row>
    <row r="30" spans="1:41" ht="14.25" x14ac:dyDescent="0.2">
      <c r="E30" s="141" t="s">
        <v>187</v>
      </c>
      <c r="P30" s="476"/>
    </row>
    <row r="31" spans="1:41" ht="12.75" customHeight="1" x14ac:dyDescent="0.2">
      <c r="E31" s="706"/>
      <c r="F31" s="707"/>
      <c r="G31" s="707"/>
      <c r="H31" s="707"/>
      <c r="I31" s="707"/>
      <c r="J31" s="707"/>
      <c r="K31" s="707"/>
      <c r="L31" s="707"/>
      <c r="M31" s="707"/>
      <c r="N31" s="707"/>
      <c r="O31" s="707"/>
      <c r="P31" s="708"/>
    </row>
    <row r="32" spans="1:41" ht="12.75" customHeight="1" x14ac:dyDescent="0.2">
      <c r="E32" s="706"/>
      <c r="F32" s="707"/>
      <c r="G32" s="707"/>
      <c r="H32" s="707"/>
      <c r="I32" s="707"/>
      <c r="J32" s="707"/>
      <c r="K32" s="707"/>
      <c r="L32" s="707"/>
      <c r="M32" s="707"/>
      <c r="N32" s="707"/>
      <c r="O32" s="707"/>
      <c r="P32" s="708"/>
      <c r="Y32" s="438"/>
      <c r="Z32" s="438"/>
    </row>
    <row r="33" spans="5:16" ht="12.75" customHeight="1" x14ac:dyDescent="0.2">
      <c r="E33" s="709"/>
      <c r="F33" s="710"/>
      <c r="G33" s="710"/>
      <c r="H33" s="710"/>
      <c r="I33" s="710"/>
      <c r="J33" s="710"/>
      <c r="K33" s="710"/>
      <c r="L33" s="710"/>
      <c r="M33" s="710"/>
      <c r="N33" s="710"/>
      <c r="O33" s="710"/>
      <c r="P33" s="711"/>
    </row>
    <row r="35" spans="5:16" ht="15" x14ac:dyDescent="0.2">
      <c r="E35" s="617" t="str">
        <f>Import.Município</f>
        <v>CÂNDIDO GODÓI</v>
      </c>
      <c r="F35" s="617"/>
      <c r="G35" s="617"/>
      <c r="I35" s="439"/>
      <c r="L35" s="640">
        <f ca="1">DADOS!$F$25</f>
        <v>46037</v>
      </c>
      <c r="M35" s="640"/>
      <c r="N35" s="640"/>
      <c r="O35" s="640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GUERINO BACKES</v>
      </c>
      <c r="L40" s="78" t="s">
        <v>108</v>
      </c>
      <c r="M40" s="689" t="str">
        <f>IF(CAIXA.Modo,BM!X131,DADOS!F51)</f>
        <v>DANIEL RODRIGO GOERLACH</v>
      </c>
      <c r="N40" s="689"/>
      <c r="O40" s="689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 MUNICIPAL</v>
      </c>
      <c r="L41" s="78" t="str">
        <f>IF(CAIXA.Modo,"Matrícula:","Profissão:")</f>
        <v>Profissão:</v>
      </c>
      <c r="M41" s="689" t="str">
        <f>IF(CAIXA.Modo,BM!X132,DADOS!F52)</f>
        <v>ENGENHEIRO CIVIL</v>
      </c>
      <c r="N41" s="689"/>
      <c r="O41" s="689"/>
    </row>
    <row r="42" spans="5:16" x14ac:dyDescent="0.2">
      <c r="L42" s="78" t="s">
        <v>109</v>
      </c>
      <c r="M42" s="689" t="str">
        <f>IF(CAIXA.Modo,BM!X133,DADOS!F53)</f>
        <v>CREA/RS 130.189</v>
      </c>
      <c r="N42" s="689"/>
      <c r="O42" s="689"/>
    </row>
    <row r="43" spans="5:16" x14ac:dyDescent="0.2">
      <c r="L43" s="78" t="str">
        <f>IF(CAIXA.Modo,"","ART/RRT:")</f>
        <v>ART/RRT:</v>
      </c>
      <c r="M43" s="13">
        <f>IF(CAIXA.Modo,"",DADOS!F54)</f>
        <v>0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88"/>
      <c r="G47" s="688"/>
      <c r="L47" s="78" t="s">
        <v>108</v>
      </c>
      <c r="M47" s="688"/>
      <c r="N47" s="688"/>
      <c r="O47" s="688"/>
    </row>
    <row r="48" spans="5:16" x14ac:dyDescent="0.2">
      <c r="E48" s="78" t="str">
        <f>IF(CAIXA.Modo,"Função:","Cargo:")</f>
        <v>Cargo:</v>
      </c>
      <c r="F48" s="688"/>
      <c r="G48" s="688"/>
      <c r="L48" s="78" t="str">
        <f>IF(CAIXA.Modo,"Função:","Cargo:")</f>
        <v>Cargo:</v>
      </c>
      <c r="M48" s="688"/>
      <c r="N48" s="688"/>
      <c r="O48" s="688"/>
    </row>
    <row r="49" spans="5:15" x14ac:dyDescent="0.2">
      <c r="E49" s="78" t="str">
        <f>IF(CAIXA.Modo,"Matr:","")</f>
        <v/>
      </c>
      <c r="F49" s="688"/>
      <c r="G49" s="688"/>
      <c r="L49" s="78" t="str">
        <f>IF(CAIXA.Modo,"Matrícula:","")</f>
        <v/>
      </c>
      <c r="M49" s="688"/>
      <c r="N49" s="688"/>
      <c r="O49" s="688"/>
    </row>
  </sheetData>
  <autoFilter ref="D13:D30"/>
  <mergeCells count="40"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  <mergeCell ref="J27:K27"/>
    <mergeCell ref="J28:K28"/>
    <mergeCell ref="O29:P29"/>
    <mergeCell ref="M48:O48"/>
    <mergeCell ref="AC10:AH10"/>
    <mergeCell ref="AJ10:AO10"/>
    <mergeCell ref="Y11:Z11"/>
    <mergeCell ref="AC11:AE11"/>
    <mergeCell ref="AF11:AH11"/>
    <mergeCell ref="AJ11:AL11"/>
    <mergeCell ref="AM11:AO11"/>
    <mergeCell ref="D7:D11"/>
    <mergeCell ref="E7:H7"/>
    <mergeCell ref="I7:L7"/>
    <mergeCell ref="G9:H9"/>
    <mergeCell ref="I9:J9"/>
    <mergeCell ref="L9:L10"/>
    <mergeCell ref="G10:H10"/>
    <mergeCell ref="E6:H6"/>
    <mergeCell ref="I6:L6"/>
    <mergeCell ref="E3:H3"/>
    <mergeCell ref="I3:K3"/>
    <mergeCell ref="E4:H4"/>
    <mergeCell ref="I4:K4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>
      <formula1>0</formula1>
      <formula2>RRE.MaxOUAcum</formula2>
    </dataValidation>
    <dataValidation type="decimal" allowBlank="1" showInputMessage="1" showErrorMessage="1" sqref="Y12:Z12 Y14:Z23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24"/>
      <c r="C1" s="724"/>
      <c r="D1" s="50"/>
      <c r="E1" s="50"/>
      <c r="F1" s="50"/>
      <c r="G1" s="53" t="s">
        <v>140</v>
      </c>
    </row>
    <row r="2" spans="2:17" x14ac:dyDescent="0.2">
      <c r="B2" s="724"/>
      <c r="C2" s="724"/>
      <c r="D2" s="50"/>
      <c r="E2" s="50"/>
      <c r="F2" s="50"/>
      <c r="G2" s="12" t="s">
        <v>382</v>
      </c>
    </row>
    <row r="3" spans="2:17" ht="26.1" customHeight="1" thickBot="1" x14ac:dyDescent="0.25">
      <c r="B3" s="724"/>
      <c r="C3" s="724"/>
      <c r="D3" s="50"/>
      <c r="E3" s="50"/>
      <c r="F3" s="50"/>
      <c r="G3" s="441"/>
      <c r="I3" s="442" t="s">
        <v>383</v>
      </c>
    </row>
    <row r="4" spans="2:17" ht="12.75" customHeight="1" x14ac:dyDescent="0.2">
      <c r="B4" s="724"/>
      <c r="C4" s="724"/>
      <c r="D4" s="50"/>
      <c r="E4" s="50"/>
      <c r="F4" s="50"/>
      <c r="G4" s="50"/>
      <c r="I4" s="725" t="s">
        <v>384</v>
      </c>
      <c r="J4" s="727" t="s">
        <v>385</v>
      </c>
      <c r="K4" s="727" t="s">
        <v>386</v>
      </c>
      <c r="L4" s="719" t="s">
        <v>387</v>
      </c>
    </row>
    <row r="5" spans="2:17" x14ac:dyDescent="0.2">
      <c r="I5" s="726"/>
      <c r="J5" s="728"/>
      <c r="K5" s="728"/>
      <c r="L5" s="720"/>
    </row>
    <row r="6" spans="2:17" x14ac:dyDescent="0.2">
      <c r="B6" s="443" t="s">
        <v>388</v>
      </c>
      <c r="C6" s="721"/>
      <c r="D6" s="721"/>
      <c r="E6" s="443"/>
      <c r="F6" s="443"/>
      <c r="G6" s="50"/>
      <c r="I6" s="523" t="str">
        <f ca="1">IF(ROW(I6)-ROW(L$5)&gt;MAX(RRE!$V$13:$V$24),"",INDEX(RRE!$J$13:$J$24,MATCH(ROW(I6)-ROW(I$5),RRE!$V$13:$V$24,0)))</f>
        <v>LOTE 1</v>
      </c>
      <c r="J6" s="524">
        <f ca="1">IF(I6="","",SUMIF(RRE!$J$13:$J$24,OFÍCIO!$I6,RRE!$L$13:$L$24))</f>
        <v>1436876.3199999998</v>
      </c>
      <c r="K6" s="524">
        <f ca="1">IF(J6="","",SUMIF(RRE!$J$13:$J$24,OFÍCIO!$I6,RRE!$N$13:$N$24))</f>
        <v>0</v>
      </c>
      <c r="L6" s="525">
        <f ca="1">IF(K6="","",SUMIF(RRE!$J$13:$J$24,OFÍCIO!$I6,RRE!$O$13:$O$24))</f>
        <v>0</v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22" t="str">
        <f ca="1">CONCATENATE(RRE!$E$35,", ",TEXT(RRE!$L$35,"dd"" de ""mmmm"" de ""aaaa"))</f>
        <v>CÂNDIDO GODÓI, 15 de janeiro de 2026</v>
      </c>
      <c r="C8" s="722"/>
      <c r="D8" s="722"/>
      <c r="E8" s="722"/>
      <c r="F8" s="722"/>
      <c r="G8" s="722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3" t="s">
        <v>390</v>
      </c>
      <c r="C10" s="723"/>
      <c r="D10" s="723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410</v>
      </c>
      <c r="C11" s="688"/>
      <c r="D11" s="688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3" t="str">
        <f ca="1">CONCATENATE(RRE.Numero,"ª"," Solicitação de ",IF(import.recurso="OGU","Desbloqueio","Desembolso")," de Recursos.")</f>
        <v>1ª Solicitação de Desembolso de Recursos.</v>
      </c>
      <c r="D14" s="723"/>
      <c r="E14" s="723"/>
      <c r="F14" s="723"/>
      <c r="G14" s="723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33" t="str">
        <f>CONCATENATE("Contrato de ",IF(import.recurso="OGU","Repasse","Financiamento")," - Operação nº ",Import.CR,IF(Import.TransfereGOV="","",CONCATENATE(" - TransfereGOV nº ",Import.TransfereGOV)))</f>
        <v xml:space="preserve">Contrato de Financiamento - Operação nº </v>
      </c>
      <c r="D15" s="733"/>
      <c r="E15" s="733"/>
      <c r="F15" s="733"/>
      <c r="G15" s="733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33"/>
      <c r="D16" s="733"/>
      <c r="E16" s="733"/>
      <c r="F16" s="733"/>
      <c r="G16" s="733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9" t="str">
        <f>Import.DescLote</f>
        <v>DIVERSOS TRECHOS DA ÁREA URBANA</v>
      </c>
      <c r="D18" s="729"/>
      <c r="E18" s="729"/>
      <c r="F18" s="729"/>
      <c r="G18" s="729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31" t="s">
        <v>394</v>
      </c>
      <c r="C19" s="732" t="str">
        <f>Import.Proponente</f>
        <v>PREFEITURA MUNICIPAL</v>
      </c>
      <c r="D19" s="732"/>
      <c r="E19" s="732"/>
      <c r="F19" s="732"/>
      <c r="G19" s="732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31"/>
      <c r="C20" s="732"/>
      <c r="D20" s="732"/>
      <c r="E20" s="732"/>
      <c r="F20" s="732"/>
      <c r="G20" s="732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9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729"/>
      <c r="D24" s="729"/>
      <c r="E24" s="729"/>
      <c r="F24" s="729"/>
      <c r="G24" s="729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9"/>
      <c r="C25" s="729"/>
      <c r="D25" s="729"/>
      <c r="E25" s="729"/>
      <c r="F25" s="729"/>
      <c r="G25" s="729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9"/>
      <c r="C26" s="729"/>
      <c r="D26" s="729"/>
      <c r="E26" s="729"/>
      <c r="F26" s="729"/>
      <c r="G26" s="729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30"/>
      <c r="C28" s="730"/>
      <c r="D28" s="734" t="s">
        <v>395</v>
      </c>
      <c r="E28" s="734" t="str">
        <f ca="1">"Evolução da "&amp;RRE.Numero&amp;"ª Medição"</f>
        <v>Evolução da 1ª Medição</v>
      </c>
      <c r="F28" s="735" t="s">
        <v>396</v>
      </c>
      <c r="G28" s="735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30"/>
      <c r="C29" s="730"/>
      <c r="D29" s="734"/>
      <c r="E29" s="734"/>
      <c r="F29" s="735"/>
      <c r="G29" s="735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36" t="str">
        <f>IF(import.recurso="FGTS","Financiamento:","Repasse:")</f>
        <v>Repasse:</v>
      </c>
      <c r="C30" s="736"/>
      <c r="D30" s="448">
        <f ca="1">RRE!L25</f>
        <v>0</v>
      </c>
      <c r="E30" s="448">
        <f ca="1">RRE!N25</f>
        <v>0</v>
      </c>
      <c r="F30" s="737">
        <f ca="1">RRE!O25</f>
        <v>0</v>
      </c>
      <c r="G30" s="737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36" t="s">
        <v>397</v>
      </c>
      <c r="C31" s="736"/>
      <c r="D31" s="448">
        <f ca="1">RRE!L26</f>
        <v>1436876.3199999998</v>
      </c>
      <c r="E31" s="448">
        <f ca="1">RRE!N26</f>
        <v>0</v>
      </c>
      <c r="F31" s="737">
        <f ca="1">RRE!O26</f>
        <v>0</v>
      </c>
      <c r="G31" s="737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36" t="s">
        <v>285</v>
      </c>
      <c r="C32" s="736"/>
      <c r="D32" s="448">
        <f ca="1">RRE!L27</f>
        <v>0</v>
      </c>
      <c r="E32" s="448">
        <f ca="1">RRE!N27</f>
        <v>0</v>
      </c>
      <c r="F32" s="737">
        <f ca="1">RRE!O27</f>
        <v>0</v>
      </c>
      <c r="G32" s="737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36" t="s">
        <v>286</v>
      </c>
      <c r="C33" s="736"/>
      <c r="D33" s="448">
        <f ca="1">RRE!L28</f>
        <v>1436876.3199999998</v>
      </c>
      <c r="E33" s="448">
        <f ca="1">RRE!N28</f>
        <v>0</v>
      </c>
      <c r="F33" s="737">
        <f ca="1">RRE!O28</f>
        <v>0</v>
      </c>
      <c r="G33" s="737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40" t="s">
        <v>398</v>
      </c>
      <c r="C34" s="740"/>
      <c r="D34" s="449" t="s">
        <v>166</v>
      </c>
      <c r="E34" s="450">
        <f ca="1">RRE!$N$28/(RRE!$L$28+10^-12)</f>
        <v>0</v>
      </c>
      <c r="F34" s="741">
        <f ca="1">RRE!P24</f>
        <v>0</v>
      </c>
      <c r="G34" s="741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42" t="str">
        <f ca="1">IF(RRE.Numero&gt;1,"2. Encaminhamos ainda a documentação relativa à prestação de contas da etapa físico-financeira anterior.","")</f>
        <v/>
      </c>
      <c r="C37" s="742"/>
      <c r="D37" s="742"/>
      <c r="E37" s="742"/>
      <c r="F37" s="742"/>
      <c r="G37" s="742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42"/>
      <c r="C38" s="742"/>
      <c r="D38" s="742"/>
      <c r="E38" s="742"/>
      <c r="F38" s="742"/>
      <c r="G38" s="742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42" t="str">
        <f ca="1">IF(AND(RRE.Numero&gt;1,NOT(ISBLANK(Import.TransfereGOV))),"3. Na oportunidade, informamos que a execução financeira da parcela anterior está devidamente comprovada no TransfereGOV.","")</f>
        <v/>
      </c>
      <c r="C39" s="742"/>
      <c r="D39" s="742"/>
      <c r="E39" s="742"/>
      <c r="F39" s="742"/>
      <c r="G39" s="742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42"/>
      <c r="C40" s="742"/>
      <c r="D40" s="742"/>
      <c r="E40" s="742"/>
      <c r="F40" s="742"/>
      <c r="G40" s="742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42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42"/>
      <c r="D42" s="742"/>
      <c r="E42" s="742"/>
      <c r="F42" s="742"/>
      <c r="G42" s="742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42"/>
      <c r="C43" s="742"/>
      <c r="D43" s="742"/>
      <c r="E43" s="742"/>
      <c r="F43" s="742"/>
      <c r="G43" s="742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42"/>
      <c r="C44" s="742"/>
      <c r="D44" s="742"/>
      <c r="E44" s="742"/>
      <c r="F44" s="742"/>
      <c r="G44" s="742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42"/>
      <c r="C45" s="742"/>
      <c r="D45" s="742"/>
      <c r="E45" s="742"/>
      <c r="F45" s="742"/>
      <c r="G45" s="742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42"/>
      <c r="C46" s="742"/>
      <c r="D46" s="742"/>
      <c r="E46" s="742"/>
      <c r="F46" s="742"/>
      <c r="G46" s="742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38" t="str">
        <f>DADOS!$F$28</f>
        <v>GUERINO BACKES</v>
      </c>
      <c r="C54" s="738"/>
      <c r="D54" s="738"/>
      <c r="E54" s="738"/>
      <c r="F54" s="738"/>
      <c r="G54" s="738"/>
    </row>
    <row r="55" spans="2:7" x14ac:dyDescent="0.2">
      <c r="B55" s="738" t="str">
        <f>DADOS!$F$29</f>
        <v>PREFEITO MUNICIPAL</v>
      </c>
      <c r="C55" s="738"/>
      <c r="D55" s="738"/>
      <c r="E55" s="738"/>
      <c r="F55" s="738"/>
      <c r="G55" s="738"/>
    </row>
    <row r="56" spans="2:7" x14ac:dyDescent="0.2">
      <c r="B56" s="739"/>
      <c r="C56" s="739"/>
      <c r="D56" s="739"/>
      <c r="E56" s="739"/>
      <c r="F56" s="739"/>
      <c r="G56" s="739"/>
    </row>
  </sheetData>
  <mergeCells count="34">
    <mergeCell ref="B55:G56"/>
    <mergeCell ref="B33:C33"/>
    <mergeCell ref="F33:G33"/>
    <mergeCell ref="B34:C34"/>
    <mergeCell ref="F34:G34"/>
    <mergeCell ref="B37:G38"/>
    <mergeCell ref="B39:G40"/>
    <mergeCell ref="B42:G46"/>
    <mergeCell ref="B31:C31"/>
    <mergeCell ref="F31:G31"/>
    <mergeCell ref="B30:C30"/>
    <mergeCell ref="F30:G30"/>
    <mergeCell ref="B54:G54"/>
    <mergeCell ref="B32:C32"/>
    <mergeCell ref="F32:G32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L4:L5"/>
    <mergeCell ref="C6:D6"/>
    <mergeCell ref="B8:G8"/>
    <mergeCell ref="B10:D10"/>
    <mergeCell ref="B1:C4"/>
    <mergeCell ref="I4:I5"/>
    <mergeCell ref="J4:J5"/>
    <mergeCell ref="K4:K5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revision>5</cp:revision>
  <cp:lastPrinted>2026-01-15T14:56:54Z</cp:lastPrinted>
  <dcterms:created xsi:type="dcterms:W3CDTF">1997-01-10T22:22:50Z</dcterms:created>
  <dcterms:modified xsi:type="dcterms:W3CDTF">2026-01-15T14:56:56Z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