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EstaPasta_de_trabalho"/>
  <workbookProtection workbookPassword="C95B" lockStructure="1"/>
  <bookViews>
    <workbookView xWindow="0" yWindow="0" windowWidth="20730" windowHeight="10320" activeTab="2"/>
  </bookViews>
  <sheets>
    <sheet name="DADOS" sheetId="16" r:id="rId1"/>
    <sheet name="BDI (1)" sheetId="17" r:id="rId2"/>
    <sheet name="PO" sheetId="12" r:id="rId3"/>
    <sheet name="PLQ" sheetId="13"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4">CFF!$L$1:$X$36</definedName>
    <definedName name="_xlnm.Print_Area" localSheetId="0">DADOS!$A$1:$X$87</definedName>
    <definedName name="_xlnm.Print_Area" localSheetId="3">PLQ!$B$1:$P$31</definedName>
    <definedName name="_xlnm.Print_Area" localSheetId="2">PO!$K$1:$T$40</definedName>
    <definedName name="_xlnm.Database">TEXT(Import.DataBase,"mm-aaaa")</definedName>
    <definedName name="CFF.ColunaPadrão">CFF!$AC:$AC</definedName>
    <definedName name="CFF.Colunas">CFF!$P$10:$X$10</definedName>
    <definedName name="CFF.Dados">OFFSET(CFF!$L$17,1,0):OFFSET(CFF!$X$30,-1,-1)</definedName>
    <definedName name="CFF.IncluirLinha">MAX(PO!$V$12:$V$25)*CFF.NumLinha-ROW(CFF!$F$30)+ROW(CFF!$F$17)+1</definedName>
    <definedName name="CFF.Item">OFFSET(CFF!$L$17,1,0):OFFSET(CFF!$X$30,-1,-1)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OFFSET(PO!$M$12,1,0):OFFSET(PO!$M$25,-1,0)</definedName>
    <definedName name="Import.CR">DADOS!$A$29</definedName>
    <definedName name="Import.CTEF">DADOS!$A$43</definedName>
    <definedName name="Import.CustoUnitário">OFFSET(PO!$Q$12,1,0):OFFSET(PO!$Q$25,-1,0)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OFFSET(PO!$N$12,1,0):OFFSET(PO!$N$25,-1,0)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OFFSET(PO!$L$12,1,0):OFFSET(PO!$L$25,-1,0)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OFFSET(PO!$K$12,1,0):OFFSET(PO!$K$25,-1,0)</definedName>
    <definedName name="Import.Localidade">DADOS!$K$32</definedName>
    <definedName name="Import.LocalSINAPI">DADOS!$D$38</definedName>
    <definedName name="Import.Município">DADOS!$G$32</definedName>
    <definedName name="Import.Nível">OFFSET(PO!$J$12,1,0):OFFSET(PO!$J$25,-1,0)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OFFSET(PLQ!$F$12,1,0):OFFSET(PLQ!$P$25,-1,-1)</definedName>
    <definedName name="Import.POArred">PO!$X$3:$X$7</definedName>
    <definedName name="Import.PreçoTotal">OFFSET(PO!$T$12,1,0):OFFSET(PO!$T$25,-1,0)</definedName>
    <definedName name="Import.PreçoUnitário">OFFSET(PO!$S$12,1,0):OFFSET(PO!$S$25,-1,0)</definedName>
    <definedName name="Import.Programa">DADOS!$F$29</definedName>
    <definedName name="Import.Proponente">DADOS!$A$32</definedName>
    <definedName name="Import.Quantidade">OFFSET(PO!$P$12,1,0):OFFSET(PO!$P$25,-1,0)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OFFSET(PO!$O$12,1,0):OFFSET(PO!$O$25,-1,0)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OFFSET(PO!$Z$12,1,0):OFFSET(PO!$Z$25,-1,0)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PO!$K$26</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PLQ!$B$9:OFFSET(PLQ!$B$25,-1,0)</definedName>
    <definedName name="PLQ.LinhaPadrão">PLQ!$A$11:$P$11</definedName>
    <definedName name="PLQ.qtde.frentes">COUNTA(PLQ!$F$9:$P$9)</definedName>
    <definedName name="PO.BDI">OFFSET(PO!$R$12,1,0):OFFSET(PO!$R$25,-1,0)</definedName>
    <definedName name="PO.CustoRef">OFFSET(PO!$Y$12,1,0):OFFSET(PO!$Y$25,-1,0)</definedName>
    <definedName name="PO.CustoUnitario">ROUND(PO!$Q1,15-13*PO!$X$4)</definedName>
    <definedName name="PO.Dados">PO!$C$12:OFFSET(PO!$Z$25,-1,0)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1-IF(ISNUMBER(CFF!#REF!),CFF!#REF!,0)</definedName>
    <definedName name="SENHAGT" hidden="1">"quantidades"</definedName>
    <definedName name="SomaAgrup">SUMIF(OFFSET(PO!$A1,1,0,PO!$B1),"S",OFFSET(PO!A1,1,0,PO!$B1))</definedName>
    <definedName name="TipoOrçamento">"BASE"</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45621"/>
</workbook>
</file>

<file path=xl/calcChain.xml><?xml version="1.0" encoding="utf-8"?>
<calcChain xmlns="http://schemas.openxmlformats.org/spreadsheetml/2006/main">
  <c r="A24" i="13" l="1"/>
  <c r="E24" i="13" s="1"/>
  <c r="P24" i="12" s="1"/>
  <c r="A23" i="13"/>
  <c r="E23" i="13" s="1"/>
  <c r="P23" i="12" s="1"/>
  <c r="A22" i="13"/>
  <c r="E22" i="13" s="1"/>
  <c r="P22" i="12" s="1"/>
  <c r="A21" i="13"/>
  <c r="E21" i="13" s="1"/>
  <c r="P21" i="12" s="1"/>
  <c r="A20" i="13"/>
  <c r="E20" i="13" s="1"/>
  <c r="P20" i="12" s="1"/>
  <c r="A19" i="13"/>
  <c r="E19" i="13" s="1"/>
  <c r="P19" i="12" s="1"/>
  <c r="A18" i="13"/>
  <c r="E18" i="13" s="1"/>
  <c r="P18" i="12" s="1"/>
  <c r="A17" i="13"/>
  <c r="E17" i="13" s="1"/>
  <c r="P17" i="12" s="1"/>
  <c r="A16" i="13"/>
  <c r="E16" i="13" s="1"/>
  <c r="P16" i="12" s="1"/>
  <c r="A15" i="13"/>
  <c r="E15" i="13" s="1"/>
  <c r="P15" i="12" s="1"/>
  <c r="A14" i="13"/>
  <c r="E14" i="13" s="1"/>
  <c r="P14" i="12" s="1"/>
  <c r="W24" i="12"/>
  <c r="A24" i="12"/>
  <c r="W23" i="12"/>
  <c r="A23" i="12"/>
  <c r="H23" i="12" s="1"/>
  <c r="C22" i="13"/>
  <c r="W22" i="12"/>
  <c r="A22" i="12"/>
  <c r="X21" i="12"/>
  <c r="Y21" i="12" s="1"/>
  <c r="Q21" i="12" s="1"/>
  <c r="W21" i="12"/>
  <c r="A21" i="12"/>
  <c r="W20" i="12"/>
  <c r="A20" i="12"/>
  <c r="V20" i="12" s="1"/>
  <c r="X19" i="12"/>
  <c r="Y19" i="12" s="1"/>
  <c r="Q19" i="12" s="1"/>
  <c r="W19" i="12"/>
  <c r="A19" i="12"/>
  <c r="W18" i="12"/>
  <c r="A18" i="12"/>
  <c r="X17" i="12"/>
  <c r="D17" i="13" s="1"/>
  <c r="W17" i="12"/>
  <c r="A17" i="12"/>
  <c r="W16" i="12"/>
  <c r="A16" i="12"/>
  <c r="W15" i="12"/>
  <c r="A15" i="12"/>
  <c r="H15" i="12" s="1"/>
  <c r="W14" i="12"/>
  <c r="A14" i="12"/>
  <c r="H14" i="12" s="1"/>
  <c r="E7" i="13"/>
  <c r="P9" i="12"/>
  <c r="F10" i="13"/>
  <c r="G10" i="13" s="1"/>
  <c r="H10" i="13" s="1"/>
  <c r="I10" i="13" s="1"/>
  <c r="J10" i="13" s="1"/>
  <c r="K10" i="13" s="1"/>
  <c r="L10" i="13" s="1"/>
  <c r="M10" i="13" s="1"/>
  <c r="N10" i="13" s="1"/>
  <c r="O10" i="13" s="1"/>
  <c r="U10" i="13"/>
  <c r="AC9" i="11"/>
  <c r="AC10" i="11" s="1"/>
  <c r="K33" i="12"/>
  <c r="X13" i="12"/>
  <c r="Y13" i="12" s="1"/>
  <c r="W13" i="12"/>
  <c r="N24" i="17"/>
  <c r="N26" i="17" s="1"/>
  <c r="Q224" i="16"/>
  <c r="Q223" i="16"/>
  <c r="P2" i="11"/>
  <c r="A20" i="11"/>
  <c r="A23" i="11" s="1"/>
  <c r="Q10" i="12"/>
  <c r="Q11" i="17"/>
  <c r="N25" i="17" s="1"/>
  <c r="N8" i="11"/>
  <c r="O9" i="11"/>
  <c r="P9" i="11" s="1"/>
  <c r="Q9" i="11" s="1"/>
  <c r="R9" i="11" s="1"/>
  <c r="S9" i="11" s="1"/>
  <c r="T9" i="11" s="1"/>
  <c r="U9" i="11" s="1"/>
  <c r="V9" i="11" s="1"/>
  <c r="W9" i="11" s="1"/>
  <c r="O10" i="11"/>
  <c r="A13" i="11"/>
  <c r="K13" i="11" s="1"/>
  <c r="N11" i="11" s="1"/>
  <c r="D17" i="11"/>
  <c r="L32" i="11"/>
  <c r="K39" i="12"/>
  <c r="L35" i="11" s="1"/>
  <c r="A11" i="13"/>
  <c r="E11" i="13" s="1"/>
  <c r="P11" i="12" s="1"/>
  <c r="X11" i="12"/>
  <c r="O11" i="12" s="1"/>
  <c r="D11" i="13" s="1"/>
  <c r="J12" i="12"/>
  <c r="A12" i="13" s="1"/>
  <c r="N12" i="12"/>
  <c r="U12" i="12" s="1"/>
  <c r="A13" i="13"/>
  <c r="E13" i="13" s="1"/>
  <c r="P13" i="12" s="1"/>
  <c r="K36" i="12"/>
  <c r="I42" i="17" s="1"/>
  <c r="B27" i="13"/>
  <c r="N2" i="12"/>
  <c r="Y10" i="12"/>
  <c r="Z10" i="12"/>
  <c r="A11" i="12"/>
  <c r="G11" i="12" s="1"/>
  <c r="W11" i="12"/>
  <c r="A13" i="12"/>
  <c r="F13" i="12" s="1"/>
  <c r="N1" i="17"/>
  <c r="C2" i="17"/>
  <c r="A3" i="17"/>
  <c r="I5" i="17"/>
  <c r="K5" i="17"/>
  <c r="C8" i="17"/>
  <c r="I8" i="17"/>
  <c r="C9" i="17"/>
  <c r="C10" i="17"/>
  <c r="C11" i="17"/>
  <c r="C12" i="17"/>
  <c r="C13" i="17"/>
  <c r="C14" i="17"/>
  <c r="A15" i="17"/>
  <c r="A17" i="17" s="1"/>
  <c r="C15" i="17"/>
  <c r="I18" i="17"/>
  <c r="M18" i="17"/>
  <c r="I19" i="17"/>
  <c r="M19" i="17"/>
  <c r="I20" i="17"/>
  <c r="M20" i="17"/>
  <c r="C21" i="17"/>
  <c r="I21" i="17"/>
  <c r="M21" i="17"/>
  <c r="A22" i="17"/>
  <c r="C22" i="17"/>
  <c r="I22" i="17"/>
  <c r="M22" i="17"/>
  <c r="C27" i="17"/>
  <c r="A28" i="17"/>
  <c r="C28" i="17" s="1"/>
  <c r="A29" i="17"/>
  <c r="I29" i="17"/>
  <c r="M32" i="17"/>
  <c r="I35" i="17"/>
  <c r="C38" i="17"/>
  <c r="A39" i="17"/>
  <c r="C39" i="17" s="1"/>
  <c r="C44" i="17"/>
  <c r="A45" i="17"/>
  <c r="A46" i="17" s="1"/>
  <c r="J47" i="17"/>
  <c r="J48" i="17"/>
  <c r="J49" i="17"/>
  <c r="J50" i="17"/>
  <c r="A55" i="16"/>
  <c r="G55" i="16" s="1"/>
  <c r="A56" i="16"/>
  <c r="G56" i="16" s="1"/>
  <c r="I49" i="17"/>
  <c r="A57" i="16"/>
  <c r="I50" i="17"/>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G57" i="16"/>
  <c r="A23" i="17"/>
  <c r="A24" i="17" s="1"/>
  <c r="C3" i="17"/>
  <c r="A4" i="17"/>
  <c r="A5" i="17" s="1"/>
  <c r="C23" i="17"/>
  <c r="A32" i="17"/>
  <c r="A33" i="17" s="1"/>
  <c r="C29" i="17"/>
  <c r="C32" i="17"/>
  <c r="G13" i="12"/>
  <c r="G14" i="12" s="1"/>
  <c r="G15" i="12" s="1"/>
  <c r="G16" i="12" s="1"/>
  <c r="G17" i="12" s="1"/>
  <c r="G18" i="12" s="1"/>
  <c r="G19" i="12" s="1"/>
  <c r="G20" i="12" s="1"/>
  <c r="G21" i="12" s="1"/>
  <c r="G22" i="12" s="1"/>
  <c r="G23" i="12" s="1"/>
  <c r="G24" i="12" s="1"/>
  <c r="C13" i="13"/>
  <c r="S13" i="12"/>
  <c r="D21" i="13"/>
  <c r="H24" i="12"/>
  <c r="B24" i="12"/>
  <c r="V24" i="12"/>
  <c r="B16" i="12"/>
  <c r="H16" i="12"/>
  <c r="I24" i="12"/>
  <c r="I16" i="12"/>
  <c r="I14" i="12"/>
  <c r="V16" i="12"/>
  <c r="B18" i="12"/>
  <c r="H18" i="12"/>
  <c r="I18" i="12"/>
  <c r="V18" i="12"/>
  <c r="H20" i="12"/>
  <c r="B20" i="12"/>
  <c r="I20" i="12"/>
  <c r="B22" i="12"/>
  <c r="H22" i="12"/>
  <c r="I22" i="12"/>
  <c r="V22" i="12"/>
  <c r="C21" i="13"/>
  <c r="I23" i="12"/>
  <c r="D13" i="13"/>
  <c r="D16" i="13"/>
  <c r="C23" i="13"/>
  <c r="D22" i="13"/>
  <c r="C14" i="13"/>
  <c r="D15" i="13"/>
  <c r="D14" i="13"/>
  <c r="C15" i="13"/>
  <c r="D24" i="13"/>
  <c r="C17" i="13"/>
  <c r="D18" i="13"/>
  <c r="D23" i="13"/>
  <c r="D19" i="13"/>
  <c r="C20" i="13"/>
  <c r="C24" i="13"/>
  <c r="C19" i="13"/>
  <c r="X38" i="16"/>
  <c r="U38" i="16"/>
  <c r="V38" i="16"/>
  <c r="W38" i="16"/>
  <c r="L32" i="17" l="1"/>
  <c r="O27" i="17"/>
  <c r="A47" i="17"/>
  <c r="C46" i="17"/>
  <c r="A34" i="17"/>
  <c r="C34" i="17" s="1"/>
  <c r="C33" i="17"/>
  <c r="C24" i="17"/>
  <c r="A25" i="17"/>
  <c r="A18" i="17"/>
  <c r="C17" i="17"/>
  <c r="C5" i="17"/>
  <c r="A6" i="17"/>
  <c r="I15" i="12"/>
  <c r="C4" i="17"/>
  <c r="A40" i="17"/>
  <c r="C13" i="12"/>
  <c r="C14" i="12" s="1"/>
  <c r="C15" i="12" s="1"/>
  <c r="C45" i="17"/>
  <c r="V14" i="12"/>
  <c r="V11" i="12"/>
  <c r="H11" i="12"/>
  <c r="E13" i="12"/>
  <c r="E14" i="12" s="1"/>
  <c r="E15" i="12" s="1"/>
  <c r="E16" i="12" s="1"/>
  <c r="E17" i="12" s="1"/>
  <c r="E18" i="12" s="1"/>
  <c r="E19" i="12" s="1"/>
  <c r="E20" i="12" s="1"/>
  <c r="E21" i="12" s="1"/>
  <c r="E22" i="12" s="1"/>
  <c r="E23" i="12" s="1"/>
  <c r="E24" i="12" s="1"/>
  <c r="M33" i="17"/>
  <c r="D13" i="12"/>
  <c r="D14" i="12" s="1"/>
  <c r="D15" i="12" s="1"/>
  <c r="D16" i="12" s="1"/>
  <c r="D17" i="12" s="1"/>
  <c r="D18" i="12" s="1"/>
  <c r="D19" i="12" s="1"/>
  <c r="D20" i="12" s="1"/>
  <c r="D21" i="12" s="1"/>
  <c r="D22" i="12" s="1"/>
  <c r="D23" i="12" s="1"/>
  <c r="D24" i="12" s="1"/>
  <c r="A5" i="12"/>
  <c r="V15" i="12"/>
  <c r="P10" i="11"/>
  <c r="R10" i="11" s="1"/>
  <c r="T10" i="11" s="1"/>
  <c r="V10" i="11" s="1"/>
  <c r="A26" i="11"/>
  <c r="V13" i="12"/>
  <c r="D11" i="12"/>
  <c r="E11" i="12"/>
  <c r="B15" i="12"/>
  <c r="I11" i="12"/>
  <c r="F11" i="12"/>
  <c r="C11" i="12"/>
  <c r="B11" i="12"/>
  <c r="C12" i="13"/>
  <c r="C13" i="11"/>
  <c r="F13" i="11" s="1"/>
  <c r="Y17" i="12"/>
  <c r="Q17" i="12" s="1"/>
  <c r="N11" i="12"/>
  <c r="U11" i="12" s="1"/>
  <c r="Y11" i="12"/>
  <c r="O42" i="17"/>
  <c r="B30" i="13"/>
  <c r="M11" i="11"/>
  <c r="F14" i="12"/>
  <c r="F15" i="12" s="1"/>
  <c r="F16" i="12" s="1"/>
  <c r="F17" i="12" s="1"/>
  <c r="F18" i="12" s="1"/>
  <c r="F19" i="12" s="1"/>
  <c r="F20" i="12" s="1"/>
  <c r="F21" i="12" s="1"/>
  <c r="F22" i="12" s="1"/>
  <c r="F23" i="12" s="1"/>
  <c r="F24" i="12" s="1"/>
  <c r="V23" i="12"/>
  <c r="B23" i="12"/>
  <c r="B14" i="12"/>
  <c r="I37" i="17"/>
  <c r="L11" i="11"/>
  <c r="S110" i="16"/>
  <c r="V227" i="16"/>
  <c r="X227" i="16"/>
  <c r="S112" i="16"/>
  <c r="S111" i="16"/>
  <c r="W227" i="16"/>
  <c r="U227" i="16"/>
  <c r="S109" i="16"/>
  <c r="Q10" i="11"/>
  <c r="S10" i="11" s="1"/>
  <c r="U10" i="11" s="1"/>
  <c r="W10" i="11" s="1"/>
  <c r="C16" i="13"/>
  <c r="C18" i="13"/>
  <c r="O25" i="17"/>
  <c r="N27" i="17"/>
  <c r="T38" i="16"/>
  <c r="K13" i="12" l="1"/>
  <c r="L18" i="11" s="1"/>
  <c r="K14" i="12"/>
  <c r="B14" i="13" s="1"/>
  <c r="C25" i="17"/>
  <c r="A26" i="17"/>
  <c r="C26" i="17" s="1"/>
  <c r="V17" i="12"/>
  <c r="V19" i="12" s="1"/>
  <c r="A7" i="17"/>
  <c r="C7" i="17" s="1"/>
  <c r="C6" i="17"/>
  <c r="K11" i="12"/>
  <c r="B11" i="13" s="1"/>
  <c r="R19" i="17"/>
  <c r="C40" i="17"/>
  <c r="A41" i="17"/>
  <c r="P18" i="17"/>
  <c r="P26" i="17"/>
  <c r="Q22" i="17"/>
  <c r="P20" i="17"/>
  <c r="C18" i="17"/>
  <c r="A19" i="17"/>
  <c r="A48" i="17"/>
  <c r="C47" i="17"/>
  <c r="C20" i="11"/>
  <c r="E20" i="11" s="1"/>
  <c r="M18" i="11"/>
  <c r="A29" i="11"/>
  <c r="J13" i="11"/>
  <c r="H13" i="11"/>
  <c r="B13" i="11"/>
  <c r="P13" i="11" s="1"/>
  <c r="G13" i="11"/>
  <c r="I13" i="11"/>
  <c r="E13" i="11"/>
  <c r="C11" i="13"/>
  <c r="Z16" i="12"/>
  <c r="Z18" i="12"/>
  <c r="Z13" i="12"/>
  <c r="T227" i="16"/>
  <c r="Z23" i="12"/>
  <c r="Z17" i="12"/>
  <c r="S17" i="12" s="1"/>
  <c r="Z21" i="12"/>
  <c r="S21" i="12" s="1"/>
  <c r="S108" i="16"/>
  <c r="Z19" i="12"/>
  <c r="S19" i="12" s="1"/>
  <c r="Z14" i="12"/>
  <c r="Z11" i="12"/>
  <c r="S11" i="12" s="1"/>
  <c r="T11" i="12" s="1"/>
  <c r="Z20" i="12"/>
  <c r="Z24" i="12"/>
  <c r="Z15" i="12"/>
  <c r="Z22" i="12"/>
  <c r="K15" i="12"/>
  <c r="B15" i="13" s="1"/>
  <c r="C16" i="12"/>
  <c r="B13" i="13" l="1"/>
  <c r="V21" i="12"/>
  <c r="M27" i="11" s="1"/>
  <c r="C23" i="11"/>
  <c r="B20" i="11" s="1"/>
  <c r="M21" i="11"/>
  <c r="P22" i="17"/>
  <c r="Q19" i="17"/>
  <c r="Q26" i="17"/>
  <c r="R26" i="17"/>
  <c r="O26" i="17" s="1"/>
  <c r="V27" i="17" s="1"/>
  <c r="T16" i="17" s="1"/>
  <c r="R18" i="17"/>
  <c r="P21" i="17"/>
  <c r="Q21" i="17"/>
  <c r="R21" i="17"/>
  <c r="R20" i="17"/>
  <c r="P19" i="17"/>
  <c r="A49" i="17"/>
  <c r="C49" i="17" s="1"/>
  <c r="C48" i="17"/>
  <c r="A20" i="17"/>
  <c r="C20" i="17" s="1"/>
  <c r="C19" i="17"/>
  <c r="C26" i="11"/>
  <c r="H26" i="11" s="1"/>
  <c r="A42" i="17"/>
  <c r="C41" i="17"/>
  <c r="M24" i="11"/>
  <c r="Q18" i="17"/>
  <c r="Q20" i="17"/>
  <c r="R22" i="17"/>
  <c r="D13" i="11"/>
  <c r="G20" i="11"/>
  <c r="H20" i="11"/>
  <c r="F20" i="11"/>
  <c r="U13" i="11"/>
  <c r="Q12" i="11"/>
  <c r="T13" i="11"/>
  <c r="U11" i="11"/>
  <c r="T11" i="11"/>
  <c r="Q13" i="11"/>
  <c r="V11" i="11"/>
  <c r="W12" i="11"/>
  <c r="R11" i="11"/>
  <c r="R13" i="11"/>
  <c r="V12" i="11"/>
  <c r="S13" i="11"/>
  <c r="V13" i="11"/>
  <c r="P11" i="11"/>
  <c r="R12" i="11"/>
  <c r="AC13" i="11"/>
  <c r="P12" i="11"/>
  <c r="S12" i="11"/>
  <c r="T12" i="11"/>
  <c r="S11" i="11"/>
  <c r="AC12" i="11"/>
  <c r="Q11" i="11"/>
  <c r="U12" i="11"/>
  <c r="W13" i="11"/>
  <c r="W11" i="11"/>
  <c r="AC11" i="11"/>
  <c r="K16" i="12"/>
  <c r="B16" i="13" s="1"/>
  <c r="C17" i="12"/>
  <c r="E23" i="11" l="1"/>
  <c r="J20" i="11" s="1"/>
  <c r="G23" i="11"/>
  <c r="H23" i="11"/>
  <c r="F23" i="11"/>
  <c r="C29" i="11"/>
  <c r="I29" i="11" s="1"/>
  <c r="B23" i="11"/>
  <c r="P22" i="11" s="1"/>
  <c r="F26" i="11"/>
  <c r="G26" i="11"/>
  <c r="A43" i="17"/>
  <c r="C43" i="17" s="1"/>
  <c r="C42" i="17"/>
  <c r="AC18" i="11"/>
  <c r="AC19" i="11" s="1"/>
  <c r="P19" i="11"/>
  <c r="Q19" i="11" s="1"/>
  <c r="C18" i="12"/>
  <c r="K17" i="12"/>
  <c r="B26" i="11" l="1"/>
  <c r="AC24" i="11" s="1"/>
  <c r="AC25" i="11" s="1"/>
  <c r="F29" i="11"/>
  <c r="G29" i="11"/>
  <c r="E26" i="11"/>
  <c r="J23" i="11" s="1"/>
  <c r="H29" i="11"/>
  <c r="B29" i="11"/>
  <c r="P28" i="11" s="1"/>
  <c r="AC21" i="11"/>
  <c r="AC22" i="11" s="1"/>
  <c r="R19" i="11"/>
  <c r="S19" i="11" s="1"/>
  <c r="Q22" i="11"/>
  <c r="R22" i="11" s="1"/>
  <c r="S22" i="11" s="1"/>
  <c r="B17" i="13"/>
  <c r="L21" i="11"/>
  <c r="C19" i="12"/>
  <c r="K18" i="12"/>
  <c r="B18" i="13" s="1"/>
  <c r="P25" i="11" l="1"/>
  <c r="Q25" i="11" s="1"/>
  <c r="R25" i="11" s="1"/>
  <c r="AC27" i="11"/>
  <c r="AC28" i="11" s="1"/>
  <c r="E29" i="11"/>
  <c r="I20" i="11" s="1"/>
  <c r="D20" i="11" s="1"/>
  <c r="Q28" i="11"/>
  <c r="R28" i="11" s="1"/>
  <c r="T22" i="11"/>
  <c r="I17" i="12"/>
  <c r="T19" i="11"/>
  <c r="K19" i="12"/>
  <c r="C20" i="12"/>
  <c r="I26" i="11" l="1"/>
  <c r="J26" i="11"/>
  <c r="J29" i="11"/>
  <c r="D29" i="11" s="1"/>
  <c r="I23" i="11"/>
  <c r="D23" i="11" s="1"/>
  <c r="S25" i="11"/>
  <c r="B19" i="13"/>
  <c r="L24" i="11"/>
  <c r="S28" i="11"/>
  <c r="U22" i="11"/>
  <c r="K20" i="12"/>
  <c r="B20" i="13" s="1"/>
  <c r="C21" i="12"/>
  <c r="U19" i="11"/>
  <c r="D26" i="11" l="1"/>
  <c r="V22" i="11"/>
  <c r="T25" i="11"/>
  <c r="T28" i="11"/>
  <c r="I19" i="12"/>
  <c r="V19" i="11"/>
  <c r="K21" i="12"/>
  <c r="C22" i="12"/>
  <c r="W22" i="11" l="1"/>
  <c r="B21" i="13"/>
  <c r="L27" i="11"/>
  <c r="U28" i="11"/>
  <c r="U25" i="11"/>
  <c r="K22" i="12"/>
  <c r="B22" i="13" s="1"/>
  <c r="C23" i="12"/>
  <c r="W19" i="11"/>
  <c r="V25" i="11" l="1"/>
  <c r="V28" i="11"/>
  <c r="K23" i="12"/>
  <c r="B23" i="13" s="1"/>
  <c r="C24" i="12"/>
  <c r="W28" i="11" l="1"/>
  <c r="W25" i="11"/>
  <c r="K24" i="12"/>
  <c r="B24" i="13" s="1"/>
  <c r="H17" i="12" l="1"/>
  <c r="B17" i="12" s="1"/>
  <c r="H19" i="12"/>
  <c r="B19" i="12" s="1"/>
  <c r="I21" i="12"/>
  <c r="H21" i="12"/>
  <c r="I13" i="12"/>
  <c r="H13" i="12"/>
  <c r="B21" i="12" l="1"/>
  <c r="B13" i="12"/>
  <c r="B12" i="12" l="1"/>
  <c r="D20" i="13" l="1"/>
  <c r="X18" i="12" l="1"/>
  <c r="X23" i="12"/>
  <c r="X22" i="12"/>
  <c r="X15" i="12"/>
  <c r="X24" i="12"/>
  <c r="X20" i="12"/>
  <c r="X16" i="12" l="1"/>
  <c r="X14" i="12"/>
  <c r="Y14" i="12" l="1"/>
  <c r="Y16" i="12"/>
  <c r="Q16" i="12" l="1"/>
  <c r="S16" i="12" s="1"/>
  <c r="T16" i="12" s="1"/>
  <c r="U16" i="12" s="1"/>
  <c r="Q14" i="12"/>
  <c r="S14" i="12" s="1"/>
  <c r="T14" i="12" s="1"/>
  <c r="Y24" i="12"/>
  <c r="Q24" i="12" l="1"/>
  <c r="S24" i="12" s="1"/>
  <c r="T24" i="12" s="1"/>
  <c r="U24" i="12" s="1"/>
  <c r="U14" i="12"/>
  <c r="Y23" i="12"/>
  <c r="Y15" i="12"/>
  <c r="Y20" i="12"/>
  <c r="Y22" i="12"/>
  <c r="Q15" i="12" l="1"/>
  <c r="S15" i="12" s="1"/>
  <c r="T15" i="12" s="1"/>
  <c r="U15" i="12" s="1"/>
  <c r="Q23" i="12"/>
  <c r="S23" i="12" s="1"/>
  <c r="T23" i="12" s="1"/>
  <c r="U23" i="12" s="1"/>
  <c r="Q22" i="12"/>
  <c r="S22" i="12" s="1"/>
  <c r="T22" i="12" s="1"/>
  <c r="Q20" i="12"/>
  <c r="S20" i="12" s="1"/>
  <c r="T20" i="12" s="1"/>
  <c r="Y18" i="12"/>
  <c r="Q18" i="12" l="1"/>
  <c r="S18" i="12" s="1"/>
  <c r="T18" i="12" s="1"/>
  <c r="T12" i="12" s="1"/>
  <c r="N14" i="11" s="1"/>
  <c r="T13" i="12"/>
  <c r="K20" i="11" s="1"/>
  <c r="N18" i="11" s="1"/>
  <c r="T19" i="12"/>
  <c r="U20" i="12"/>
  <c r="U22" i="12"/>
  <c r="T21" i="12"/>
  <c r="T17" i="12" l="1"/>
  <c r="U17" i="12" s="1"/>
  <c r="U18" i="12"/>
  <c r="U13" i="12"/>
  <c r="U21" i="12"/>
  <c r="K29" i="11"/>
  <c r="N27" i="11" s="1"/>
  <c r="AC20" i="11"/>
  <c r="S20" i="11"/>
  <c r="P20" i="11"/>
  <c r="V20" i="11"/>
  <c r="R20" i="11"/>
  <c r="Q20" i="11"/>
  <c r="T20" i="11"/>
  <c r="W20" i="11"/>
  <c r="U20" i="11"/>
  <c r="K26" i="11"/>
  <c r="N24" i="11" s="1"/>
  <c r="U19" i="12"/>
  <c r="K23" i="11" l="1"/>
  <c r="N21" i="11" s="1"/>
  <c r="AC23" i="11" s="1"/>
  <c r="U5" i="12"/>
  <c r="R26" i="11"/>
  <c r="P26" i="11"/>
  <c r="V26" i="11"/>
  <c r="W26" i="11"/>
  <c r="Q26" i="11"/>
  <c r="S26" i="11"/>
  <c r="T26" i="11"/>
  <c r="AC26" i="11"/>
  <c r="U26" i="11"/>
  <c r="P29" i="11"/>
  <c r="V29" i="11"/>
  <c r="S29" i="11"/>
  <c r="AC29" i="11"/>
  <c r="W29" i="11"/>
  <c r="R29" i="11"/>
  <c r="Q29" i="11"/>
  <c r="T29" i="11"/>
  <c r="U29" i="11"/>
  <c r="W23" i="11" l="1"/>
  <c r="T17" i="11"/>
  <c r="T16" i="11" s="1"/>
  <c r="V23" i="11"/>
  <c r="V17" i="11" s="1"/>
  <c r="V16" i="11" s="1"/>
  <c r="S23" i="11"/>
  <c r="R23" i="11"/>
  <c r="T23" i="11"/>
  <c r="Q23" i="11"/>
  <c r="U23" i="11"/>
  <c r="U17" i="11" s="1"/>
  <c r="P23" i="11"/>
  <c r="P17" i="11" s="1"/>
  <c r="R17" i="11"/>
  <c r="R16" i="11" s="1"/>
  <c r="AC17" i="11"/>
  <c r="AC15" i="11" s="1"/>
  <c r="AC14" i="11" s="1"/>
  <c r="Q17" i="11"/>
  <c r="S17" i="11"/>
  <c r="S16" i="11" s="1"/>
  <c r="W17" i="11"/>
  <c r="W16" i="11" s="1"/>
  <c r="P15" i="11" l="1"/>
  <c r="P14" i="11" s="1"/>
  <c r="P16" i="11"/>
  <c r="U16" i="11"/>
  <c r="U15" i="11"/>
  <c r="U14" i="11" s="1"/>
  <c r="Q15" i="11"/>
  <c r="Q14" i="11" s="1"/>
  <c r="AC16" i="11"/>
  <c r="V15" i="11"/>
  <c r="V14" i="11" s="1"/>
  <c r="Q16" i="11"/>
  <c r="R15" i="11"/>
  <c r="R14" i="11" s="1"/>
  <c r="L8" i="11"/>
  <c r="W15" i="11"/>
  <c r="W14" i="11" s="1"/>
  <c r="S15" i="11"/>
  <c r="S14" i="11" s="1"/>
  <c r="T15" i="11"/>
  <c r="T14" i="11" s="1"/>
</calcChain>
</file>

<file path=xl/sharedStrings.xml><?xml version="1.0" encoding="utf-8"?>
<sst xmlns="http://schemas.openxmlformats.org/spreadsheetml/2006/main" count="433" uniqueCount="270">
  <si>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</si>
  <si>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</si>
  <si>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</si>
  <si>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</si>
  <si>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</si>
  <si>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</si>
  <si>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</si>
  <si>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</si>
  <si>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</si>
  <si>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</si>
  <si>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</si>
  <si>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</si>
  <si>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</si>
  <si>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</si>
  <si>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</si>
  <si>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</si>
  <si>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</si>
  <si>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</si>
  <si>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</si>
  <si>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</si>
  <si>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</si>
  <si>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</si>
  <si>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</si>
  <si>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</si>
  <si>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</si>
  <si>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</si>
  <si>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</si>
  <si>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</si>
  <si>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</si>
  <si>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</si>
  <si>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</si>
  <si>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</si>
  <si>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</si>
  <si>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</si>
  <si>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</si>
  <si>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</si>
  <si>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</si>
  <si>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</si>
  <si>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</si>
  <si>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</si>
  <si>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</si>
  <si>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</si>
  <si>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</si>
  <si>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</si>
  <si>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</si>
  <si>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</si>
  <si>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</si>
  <si>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</si>
  <si>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</si>
  <si>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</si>
  <si>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</si>
  <si>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</si>
  <si>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</si>
  <si>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</si>
  <si>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</si>
  <si>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</si>
  <si>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</si>
  <si>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</si>
  <si>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</si>
  <si>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</si>
  <si>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</si>
  <si>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</si>
  <si>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</si>
  <si>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</si>
  <si>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</si>
  <si>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</si>
  <si>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</si>
  <si>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</si>
  <si>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</si>
  <si>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</si>
  <si>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</si>
  <si>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</si>
  <si>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</si>
  <si>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</si>
  <si>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</si>
  <si>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</si>
  <si>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</si>
  <si>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</si>
  <si>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</si>
  <si>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</si>
  <si>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</si>
  <si>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</si>
  <si>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</si>
  <si>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</si>
  <si>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</si>
  <si>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</si>
  <si>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</si>
  <si>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</si>
  <si>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</si>
  <si>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</si>
  <si>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</si>
  <si>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</si>
  <si>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</si>
  <si>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</si>
  <si>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</si>
  <si>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</si>
  <si>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</si>
  <si>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</si>
  <si>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</si>
  <si>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</si>
  <si>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</si>
  <si>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</si>
  <si>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</si>
  <si>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</si>
  <si>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</si>
  <si>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</si>
  <si>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</si>
  <si>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</si>
  <si>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</si>
  <si>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</si>
  <si>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</si>
  <si>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</si>
  <si>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</si>
  <si>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</si>
  <si>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</si>
  <si>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</si>
  <si>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</si>
  <si>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</si>
  <si>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</si>
  <si>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</si>
  <si>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</si>
  <si>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</si>
  <si>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</si>
  <si>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</si>
  <si>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</si>
  <si>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</si>
  <si>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</si>
  <si>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</si>
  <si>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</si>
  <si>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</si>
  <si>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</si>
  <si>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</si>
  <si>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</si>
  <si>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</si>
  <si>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</si>
  <si>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</si>
  <si>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</si>
  <si>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</si>
  <si>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</si>
  <si>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</si>
  <si>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</si>
  <si>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</si>
  <si>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</si>
  <si>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</si>
  <si>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</si>
  <si>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</si>
  <si>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</si>
  <si>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</si>
  <si>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</si>
  <si>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</si>
  <si>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</si>
  <si>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</si>
  <si>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</si>
  <si>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</si>
  <si>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</si>
  <si>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</si>
  <si>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</si>
  <si>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</si>
  <si>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</si>
  <si>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</si>
  <si>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</si>
  <si>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</si>
  <si>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</si>
  <si>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</si>
  <si>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</si>
  <si>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</si>
  <si>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</si>
  <si>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</si>
  <si>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</si>
  <si>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</si>
  <si>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</si>
  <si>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</si>
  <si>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</si>
  <si>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</si>
  <si>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</si>
  <si>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</si>
  <si>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</si>
  <si>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</si>
  <si>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</si>
  <si>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</si>
  <si>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</si>
  <si>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</si>
  <si>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</si>
  <si>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</si>
  <si>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</si>
  <si>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</si>
  <si>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</si>
  <si>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</si>
  <si>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</si>
  <si>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</si>
  <si>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</si>
  <si>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</si>
  <si>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</si>
  <si>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</si>
  <si>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</si>
  <si>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</si>
  <si>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</si>
  <si>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</si>
  <si>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</si>
  <si>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</si>
  <si>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</si>
  <si>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</si>
  <si>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</si>
  <si>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</si>
  <si>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</si>
  <si>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</si>
  <si>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</si>
  <si>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</si>
  <si>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</si>
  <si>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</si>
  <si>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</si>
  <si>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</si>
  <si>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</si>
  <si>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</si>
  <si>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</si>
  <si>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</si>
  <si>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</si>
  <si>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</si>
  <si>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</si>
  <si>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</si>
  <si>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</si>
  <si>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</si>
  <si>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</si>
  <si>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</si>
  <si>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</si>
  <si>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</si>
  <si>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</si>
  <si>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</si>
  <si>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</si>
  <si>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MUNICÍPIO DE UBIRETAMA</t>
  </si>
  <si>
    <t>CALÇAMENTO</t>
  </si>
  <si>
    <t>PREFEITURA MUNICIPAL DE UBIRETAMA/RS</t>
  </si>
  <si>
    <t>UBIRETAMA/RS</t>
  </si>
  <si>
    <t>LINHA NATAL SUL/INTERIOR</t>
  </si>
  <si>
    <t>PAVIMENTAÇÃO COM CALÇAMENTO COM PEDRAS BASÁLTICAS IRREGULARES LINHA NATAL SUL, INTERIOR (ZONA RURAL) DO MUNICIPIO DE UBIRETAMA/RS</t>
  </si>
  <si>
    <t>Não</t>
  </si>
  <si>
    <t>SINAPI</t>
  </si>
  <si>
    <t>COMPOSIÇÃO</t>
  </si>
  <si>
    <t>99064</t>
  </si>
  <si>
    <t>003</t>
  </si>
  <si>
    <t>100576</t>
  </si>
  <si>
    <t>001</t>
  </si>
  <si>
    <t>004</t>
  </si>
  <si>
    <t>005</t>
  </si>
  <si>
    <t>006</t>
  </si>
  <si>
    <t>SERVIÇOS INICIAIS</t>
  </si>
  <si>
    <t>LOCAÇÃO DE PAVIMENTAÇÃO. AF_10/2018</t>
  </si>
  <si>
    <t>PLACA DE OBRA (PADRÃO GOVERNO FEDERAL) DE 3,00 X 1,50 M - CONFORME MANUAL VISUAL DE PLACAS E ADESIVOS DE OBRAS DA CAIXA DE JANEIRO DE 2022, DISPONÍNEL EM: https://www.caixa.gov.br/Downloads/gestao-urbana-manual-visual-placas-adesivos-obras/Manual-Placa-de-Obras.pdf</t>
  </si>
  <si>
    <t>REGULARIZAÇÃO E COMPACTAÇÃO DE SUBLEITO DE SOLO  PREDOMINANTEMENTE ARGILOSO. AF_11/2019</t>
  </si>
  <si>
    <t>PAVIMENTAÇÃO</t>
  </si>
  <si>
    <t>EXECUÇÃO DE CALÇAMENTO COM PEDRAS BASÁLTICAS IRREGULARES INCLUSO TRANSPORTE,  MATERIAIS E MÃO DE OBRA</t>
  </si>
  <si>
    <t>MEIO-FIO</t>
  </si>
  <si>
    <t>SINALIZAÇÃO VERTICAL</t>
  </si>
  <si>
    <t>SINALIZAÇÃO VERTICAL, PLACA TIPO R-1 (PARADA OBRIGATÓRIA) COMPLETA COM POSTE METÁLICO 2" H= 3,50M L=50 CM</t>
  </si>
  <si>
    <t>SINALIZAÇÃO VERTICAL, PLACA TIPO R-19f (40KM/H) COMPLETA COM POSTE METÁLICO 2" H= 3,50M L=50 CM</t>
  </si>
  <si>
    <t>SINALIZAÇÃO VERTICAL, PLACA TIPO R-19f (60KM/H) COMPLETA COM POSTE METÁLICO 2" H= 3,50M L=50 CM</t>
  </si>
  <si>
    <t>M</t>
  </si>
  <si>
    <t>UNIDADE</t>
  </si>
  <si>
    <t>M2</t>
  </si>
  <si>
    <t>Calçamento</t>
  </si>
  <si>
    <t>PAVIMENTAÇÃO COM CALÇAMENTO COM PEDRAS BASÁLTICAS IRREGULARES LINHA NATAL SUL, INTERIOR (ZONA RURAL)</t>
  </si>
  <si>
    <t>NÃO</t>
  </si>
  <si>
    <t>JASON PALUCHOWSKI</t>
  </si>
  <si>
    <t>ENGENHEIRO CIVIL</t>
  </si>
  <si>
    <t>RS 245.994</t>
  </si>
  <si>
    <t>12336519</t>
  </si>
  <si>
    <t>RODRIGO DANIEL BLOCH</t>
  </si>
  <si>
    <t>PREFEITO MUNICIPAL</t>
  </si>
  <si>
    <t>007</t>
  </si>
  <si>
    <t>ASSENTAMENTO DE GUIA (MEIO-FIO) EM TRECHO RETO, CONFECCIONADA EM CONCRETO PRÉ-FABRICADO, DIMENSÕES 100X15X12X20 CM (COMPRIMENTO X BASE INFERIOR X BASE SUPERIOR X ALTURA).</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</si>
</sst>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94">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64" fontId="1" fillId="25" borderId="24" xfId="87" applyNumberFormat="1" applyFont="1" applyFill="1" applyBorder="1" applyAlignment="1" applyProtection="1">
      <alignment vertical="center" shrinkToFit="1"/>
    </xf>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18" xfId="0" applyFill="1" applyBorder="1" applyAlignment="1" applyProtection="1">
      <alignment horizontal="left" vertical="top" wrapText="1"/>
      <protection locked="0"/>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131">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Radio" checked="Checked"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4.emf"/><Relationship Id="rId1" Type="http://schemas.openxmlformats.org/officeDocument/2006/relationships/image" Target="../media/image8.emf"/><Relationship Id="rId6" Type="http://schemas.openxmlformats.org/officeDocument/2006/relationships/image" Target="../media/image2.emf"/><Relationship Id="rId5" Type="http://schemas.openxmlformats.org/officeDocument/2006/relationships/image" Target="../media/image13.emf"/><Relationship Id="rId4" Type="http://schemas.openxmlformats.org/officeDocument/2006/relationships/image" Target="../media/image1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10.emf"/><Relationship Id="rId1" Type="http://schemas.openxmlformats.org/officeDocument/2006/relationships/image" Target="../media/image6.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11.emf"/><Relationship Id="rId2" Type="http://schemas.openxmlformats.org/officeDocument/2006/relationships/image" Target="../media/image6.emf"/><Relationship Id="rId1" Type="http://schemas.openxmlformats.org/officeDocument/2006/relationships/image" Target="../media/image10.emf"/><Relationship Id="rId5" Type="http://schemas.openxmlformats.org/officeDocument/2006/relationships/image" Target="../media/image15.emf"/><Relationship Id="rId4" Type="http://schemas.openxmlformats.org/officeDocument/2006/relationships/image" Target="../media/image14.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381000</xdr:colOff>
          <xdr:row>18</xdr:row>
          <xdr:rowOff>85725</xdr:rowOff>
        </xdr:from>
        <xdr:to>
          <xdr:col>5</xdr:col>
          <xdr:colOff>228600</xdr:colOff>
          <xdr:row>20</xdr:row>
          <xdr:rowOff>47625</xdr:rowOff>
        </xdr:to>
        <xdr:sp macro="" textlink="">
          <xdr:nvSpPr>
            <xdr:cNvPr id="34202" name="OptionPLQ-ON" hidden="1">
              <a:extLst>
                <a:ext uri="{63B3BB69-23CF-44E3-9099-C40C66FF867C}">
                  <a14:compatExt spid="_x0000_s34202"/>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18</xdr:row>
          <xdr:rowOff>85725</xdr:rowOff>
        </xdr:from>
        <xdr:to>
          <xdr:col>11</xdr:col>
          <xdr:colOff>142875</xdr:colOff>
          <xdr:row>20</xdr:row>
          <xdr:rowOff>47625</xdr:rowOff>
        </xdr:to>
        <xdr:sp macro="" textlink="">
          <xdr:nvSpPr>
            <xdr:cNvPr id="34203" name="OptionPLQ-OFF" hidden="1">
              <a:extLst>
                <a:ext uri="{63B3BB69-23CF-44E3-9099-C40C66FF867C}">
                  <a14:compatExt spid="_x0000_s34203"/>
                </a:ext>
              </a:extLst>
            </xdr:cNvPr>
            <xdr:cNvSpPr/>
          </xdr:nvSpPr>
          <xdr:spPr>
            <a:xfrm>
              <a:off x="0" y="0"/>
              <a:ext cx="0" cy="0"/>
            </a:xfrm>
            <a:prstGeom prst="rect">
              <a:avLst/>
            </a:prstGeom>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xdr:cNvPicPr>
              <a:picLocks noChangeArrowheads="1"/>
              <a:extLst>
                <a:ext uri="{84589F7E-364E-4C9E-8A38-B11213B215E9}">
                  <a14:cameraTool cellRange="PO!$T$1:$T$2" spid="_x0000_s201774"/>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xdr:cNvPicPr>
              <a:picLocks noChangeArrowheads="1"/>
              <a:extLst>
                <a:ext uri="{84589F7E-364E-4C9E-8A38-B11213B215E9}">
                  <a14:cameraTool cellRange="DADOS!$A$220:$X$230" spid="_x0000_s205860"/>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xdr:cNvSpPr txBox="1">
          <a:spLocks noChangeArrowheads="1"/>
        </xdr:cNvSpPr>
      </xdr:nvSpPr>
      <xdr:spPr bwMode="auto">
        <a:xfrm>
          <a:off x="3667124" y="1905000"/>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xdr:cNvSpPr txBox="1">
          <a:spLocks noChangeArrowheads="1"/>
        </xdr:cNvSpPr>
      </xdr:nvSpPr>
      <xdr:spPr bwMode="auto">
        <a:xfrm>
          <a:off x="7286625" y="1905000"/>
          <a:ext cx="1314451" cy="369092"/>
        </a:xfrm>
        <a:prstGeom prst="rect">
          <a:avLst/>
        </a:prstGeom>
        <a:solidFill>
          <a:srgbClr xmlns:mc="http://schemas.openxmlformats.org/markup-compatibility/2006" xmlns:a14="http://schemas.microsoft.com/office/drawing/2010/main" val="33CCCC" mc:Ignorable="a14" a14:legacySpreadsheetColorIndex="4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mc:AlternateContent xmlns:mc="http://schemas.openxmlformats.org/markup-compatibility/2006">
    <mc:Choice xmlns:a14="http://schemas.microsoft.com/office/drawing/2010/main" Requires="a14">
      <xdr:twoCellAnchor>
        <xdr:from>
          <xdr:col>13</xdr:col>
          <xdr:colOff>3686175</xdr:colOff>
          <xdr:row>35</xdr:row>
          <xdr:rowOff>0</xdr:rowOff>
        </xdr:from>
        <xdr:to>
          <xdr:col>19</xdr:col>
          <xdr:colOff>123825</xdr:colOff>
          <xdr:row>39</xdr:row>
          <xdr:rowOff>142875</xdr:rowOff>
        </xdr:to>
        <xdr:pic>
          <xdr:nvPicPr>
            <xdr:cNvPr id="198588" name="Picture 483"/>
            <xdr:cNvPicPr>
              <a:picLocks noChangeArrowheads="1"/>
              <a:extLst>
                <a:ext uri="{84589F7E-364E-4C9E-8A38-B11213B215E9}">
                  <a14:cameraTool cellRange="DADOS!$A$53:$K$57" spid="_x0000_s205861"/>
                </a:ext>
              </a:extLst>
            </xdr:cNvPicPr>
          </xdr:nvPicPr>
          <xdr:blipFill>
            <a:blip xmlns:r="http://schemas.openxmlformats.org/officeDocument/2006/relationships" r:embed="rId2"/>
            <a:srcRect/>
            <a:stretch>
              <a:fillRect/>
            </a:stretch>
          </xdr:blipFill>
          <xdr:spPr bwMode="auto">
            <a:xfrm>
              <a:off x="7210425" y="8215313"/>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xdr:cNvSpPr txBox="1">
          <a:spLocks noChangeArrowheads="1"/>
        </xdr:cNvSpPr>
      </xdr:nvSpPr>
      <xdr:spPr bwMode="auto">
        <a:xfrm>
          <a:off x="5500687" y="1904999"/>
          <a:ext cx="1476375" cy="180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xdr:cNvSpPr txBox="1">
          <a:spLocks noChangeArrowheads="1"/>
        </xdr:cNvSpPr>
      </xdr:nvSpPr>
      <xdr:spPr bwMode="auto">
        <a:xfrm>
          <a:off x="1807369" y="1902619"/>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330852</xdr:rowOff>
    </xdr:to>
    <xdr:sp macro="" textlink="">
      <xdr:nvSpPr>
        <xdr:cNvPr id="9" name="TextBoxArred"/>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editAs="oneCell">
        <xdr:from>
          <xdr:col>15</xdr:col>
          <xdr:colOff>428625</xdr:colOff>
          <xdr:row>7</xdr:row>
          <xdr:rowOff>114300</xdr:rowOff>
        </xdr:from>
        <xdr:to>
          <xdr:col>15</xdr:col>
          <xdr:colOff>847725</xdr:colOff>
          <xdr:row>7</xdr:row>
          <xdr:rowOff>342900</xdr:rowOff>
        </xdr:to>
        <xdr:sp macro="" textlink="">
          <xdr:nvSpPr>
            <xdr:cNvPr id="197642" name="CaixaArredQuant" hidden="1">
              <a:extLst>
                <a:ext uri="{63B3BB69-23CF-44E3-9099-C40C66FF867C}">
                  <a14:compatExt spid="_x0000_s197642"/>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7</xdr:row>
          <xdr:rowOff>114300</xdr:rowOff>
        </xdr:from>
        <xdr:to>
          <xdr:col>16</xdr:col>
          <xdr:colOff>838200</xdr:colOff>
          <xdr:row>7</xdr:row>
          <xdr:rowOff>342900</xdr:rowOff>
        </xdr:to>
        <xdr:sp macro="" textlink="">
          <xdr:nvSpPr>
            <xdr:cNvPr id="197650" name="CaixaArredCustoUnit" hidden="1">
              <a:extLst>
                <a:ext uri="{63B3BB69-23CF-44E3-9099-C40C66FF867C}">
                  <a14:compatExt spid="_x0000_s197650"/>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7</xdr:row>
          <xdr:rowOff>114300</xdr:rowOff>
        </xdr:from>
        <xdr:to>
          <xdr:col>17</xdr:col>
          <xdr:colOff>676275</xdr:colOff>
          <xdr:row>7</xdr:row>
          <xdr:rowOff>342900</xdr:rowOff>
        </xdr:to>
        <xdr:sp macro="" textlink="">
          <xdr:nvSpPr>
            <xdr:cNvPr id="197651" name="CaixaArredBDI" hidden="1">
              <a:extLst>
                <a:ext uri="{63B3BB69-23CF-44E3-9099-C40C66FF867C}">
                  <a14:compatExt spid="_x0000_s197651"/>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333375</xdr:colOff>
          <xdr:row>7</xdr:row>
          <xdr:rowOff>114300</xdr:rowOff>
        </xdr:from>
        <xdr:to>
          <xdr:col>18</xdr:col>
          <xdr:colOff>752475</xdr:colOff>
          <xdr:row>7</xdr:row>
          <xdr:rowOff>342900</xdr:rowOff>
        </xdr:to>
        <xdr:sp macro="" textlink="">
          <xdr:nvSpPr>
            <xdr:cNvPr id="197652" name="CaixaArredPrecoUnit" hidden="1">
              <a:extLst>
                <a:ext uri="{63B3BB69-23CF-44E3-9099-C40C66FF867C}">
                  <a14:compatExt spid="_x0000_s197652"/>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419100</xdr:colOff>
          <xdr:row>7</xdr:row>
          <xdr:rowOff>104775</xdr:rowOff>
        </xdr:from>
        <xdr:to>
          <xdr:col>19</xdr:col>
          <xdr:colOff>838200</xdr:colOff>
          <xdr:row>7</xdr:row>
          <xdr:rowOff>333375</xdr:rowOff>
        </xdr:to>
        <xdr:sp macro="" textlink="">
          <xdr:nvSpPr>
            <xdr:cNvPr id="197660" name="CaixaArredPrecoTotal" hidden="1">
              <a:extLst>
                <a:ext uri="{63B3BB69-23CF-44E3-9099-C40C66FF867C}">
                  <a14:compatExt spid="_x0000_s197660"/>
                </a:ext>
              </a:extLst>
            </xdr:cNvPr>
            <xdr:cNvSpPr/>
          </xdr:nvSpPr>
          <xdr:spPr>
            <a:xfrm>
              <a:off x="0" y="0"/>
              <a:ext cx="0" cy="0"/>
            </a:xfrm>
            <a:prstGeom prst="rect">
              <a:avLst/>
            </a:prstGeom>
          </xdr:spPr>
        </xdr:sp>
        <xdr:clientData fLocksWithSheet="0" fPrintsWithSheet="0"/>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xdr:cNvPicPr>
              <a:picLocks noChangeArrowheads="1"/>
              <a:extLst>
                <a:ext uri="{84589F7E-364E-4C9E-8A38-B11213B215E9}">
                  <a14:cameraTool cellRange="DADOS!$A$220:$X$230" spid="_x0000_s202932"/>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xdr:cNvPicPr>
              <a:picLocks noChangeArrowheads="1"/>
              <a:extLst>
                <a:ext uri="{84589F7E-364E-4C9E-8A38-B11213B215E9}">
                  <a14:cameraTool cellRange="DADOS!$A$220:$X$230" spid="_x0000_s202933"/>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1704975</xdr:colOff>
      <xdr:row>8</xdr:row>
      <xdr:rowOff>485775</xdr:rowOff>
    </xdr:to>
    <xdr:sp macro="[0]!IncluirPLQ" textlink="">
      <xdr:nvSpPr>
        <xdr:cNvPr id="6" name="AddPLQ"/>
        <xdr:cNvSpPr txBox="1">
          <a:spLocks noChangeArrowheads="1"/>
        </xdr:cNvSpPr>
      </xdr:nvSpPr>
      <xdr:spPr bwMode="auto">
        <a:xfrm>
          <a:off x="2238375" y="2076450"/>
          <a:ext cx="1028700" cy="381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3000375</xdr:colOff>
      <xdr:row>8</xdr:row>
      <xdr:rowOff>485775</xdr:rowOff>
    </xdr:to>
    <xdr:sp macro="[0]!ExcluirPLQ" textlink="">
      <xdr:nvSpPr>
        <xdr:cNvPr id="7" name="RemovePLQ"/>
        <xdr:cNvSpPr txBox="1">
          <a:spLocks noChangeArrowheads="1"/>
        </xdr:cNvSpPr>
      </xdr:nvSpPr>
      <xdr:spPr bwMode="auto">
        <a:xfrm>
          <a:off x="3533775" y="2076450"/>
          <a:ext cx="1028700" cy="381000"/>
        </a:xfrm>
        <a:prstGeom prst="rect">
          <a:avLst/>
        </a:prstGeom>
        <a:solidFill>
          <a:srgbClr xmlns:mc="http://schemas.openxmlformats.org/markup-compatibility/2006" xmlns:a14="http://schemas.microsoft.com/office/drawing/2010/main" val="993366" mc:Ignorable="a14" a14:legacySpreadsheetColorIndex="61"/>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mc:AlternateContent xmlns:mc="http://schemas.openxmlformats.org/markup-compatibility/2006">
    <mc:Choice xmlns:a14="http://schemas.microsoft.com/office/drawing/2010/main" Requires="a14">
      <xdr:twoCellAnchor>
        <xdr:from>
          <xdr:col>5</xdr:col>
          <xdr:colOff>704850</xdr:colOff>
          <xdr:row>26</xdr:row>
          <xdr:rowOff>9525</xdr:rowOff>
        </xdr:from>
        <xdr:to>
          <xdr:col>14</xdr:col>
          <xdr:colOff>28575</xdr:colOff>
          <xdr:row>30</xdr:row>
          <xdr:rowOff>152400</xdr:rowOff>
        </xdr:to>
        <xdr:pic>
          <xdr:nvPicPr>
            <xdr:cNvPr id="199399" name="Picture 483"/>
            <xdr:cNvPicPr>
              <a:picLocks noChangeArrowheads="1"/>
              <a:extLst>
                <a:ext uri="{84589F7E-364E-4C9E-8A38-B11213B215E9}">
                  <a14:cameraTool cellRange="DADOS!$A$53:$K$57" spid="_x0000_s202934"/>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xdr:cNvPicPr>
              <a:picLocks noChangeArrowheads="1"/>
              <a:extLst>
                <a:ext uri="{84589F7E-364E-4C9E-8A38-B11213B215E9}">
                  <a14:cameraTool cellRange="PO!$T$1:$T$2" spid="_x0000_s202935"/>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xdr:cNvPicPr>
              <a:picLocks noChangeArrowheads="1"/>
              <a:extLst>
                <a:ext uri="{84589F7E-364E-4C9E-8A38-B11213B215E9}">
                  <a14:cameraTool cellRange="DADOS!$A$220:$X$230" spid="_x0000_s204406"/>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xdr:cNvPicPr>
              <a:picLocks noChangeArrowheads="1"/>
              <a:extLst>
                <a:ext uri="{84589F7E-364E-4C9E-8A38-B11213B215E9}">
                  <a14:cameraTool cellRange="DADOS!$A$220:$X$230" spid="_x0000_s204407"/>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31</xdr:row>
          <xdr:rowOff>0</xdr:rowOff>
        </xdr:from>
        <xdr:to>
          <xdr:col>22</xdr:col>
          <xdr:colOff>28575</xdr:colOff>
          <xdr:row>35</xdr:row>
          <xdr:rowOff>142875</xdr:rowOff>
        </xdr:to>
        <xdr:pic>
          <xdr:nvPicPr>
            <xdr:cNvPr id="200674" name="Picture 483"/>
            <xdr:cNvPicPr>
              <a:picLocks noChangeArrowheads="1"/>
              <a:extLst>
                <a:ext uri="{84589F7E-364E-4C9E-8A38-B11213B215E9}">
                  <a14:cameraTool cellRange="DADOS!$A$53:$K$57" spid="_x0000_s204408"/>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xdr:cNvPicPr>
              <a:picLocks noChangeArrowheads="1"/>
              <a:extLst>
                <a:ext uri="{84589F7E-364E-4C9E-8A38-B11213B215E9}">
                  <a14:cameraTool cellRange="PO!$T$1:$T$2" spid="_x0000_s204409"/>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0676" name="Picture 483"/>
            <xdr:cNvPicPr>
              <a:picLocks noChangeArrowheads="1"/>
              <a:extLst>
                <a:ext uri="{84589F7E-364E-4C9E-8A38-B11213B215E9}">
                  <a14:cameraTool cellRange="DADOS!$A$53:$K$57" spid="_x0000_s204410"/>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xdr:cNvPicPr>
              <a:picLocks noChangeArrowheads="1"/>
              <a:extLst>
                <a:ext uri="{84589F7E-364E-4C9E-8A38-B11213B215E9}">
                  <a14:cameraTool cellRange="PO!$T$1:$T$2" spid="_x0000_s204411"/>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0678" name="Picture 483"/>
            <xdr:cNvPicPr>
              <a:picLocks noChangeArrowheads="1"/>
              <a:extLst>
                <a:ext uri="{84589F7E-364E-4C9E-8A38-B11213B215E9}">
                  <a14:cameraTool cellRange="DADOS!$A$53:$K$57" spid="_x0000_s204412"/>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xdr:cNvPicPr>
              <a:picLocks noChangeArrowheads="1"/>
              <a:extLst>
                <a:ext uri="{84589F7E-364E-4C9E-8A38-B11213B215E9}">
                  <a14:cameraTool cellRange="PO!$T$1:$T$2" spid="_x0000_s204413"/>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0680" name="Picture 483"/>
            <xdr:cNvPicPr>
              <a:picLocks noChangeArrowheads="1"/>
              <a:extLst>
                <a:ext uri="{84589F7E-364E-4C9E-8A38-B11213B215E9}">
                  <a14:cameraTool cellRange="DADOS!$A$53:$K$57" spid="_x0000_s204414"/>
                </a:ext>
              </a:extLst>
            </xdr:cNvPicPr>
          </xdr:nvPicPr>
          <xdr:blipFill>
            <a:blip xmlns:r="http://schemas.openxmlformats.org/officeDocument/2006/relationships" r:embed="rId5"/>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xdr:cNvPicPr>
              <a:picLocks noChangeArrowheads="1"/>
              <a:extLst>
                <a:ext uri="{84589F7E-364E-4C9E-8A38-B11213B215E9}">
                  <a14:cameraTool cellRange="PO!$T$1:$T$2" spid="_x0000_s204415"/>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0682" name="Picture 483"/>
            <xdr:cNvPicPr>
              <a:picLocks noChangeArrowheads="1"/>
              <a:extLst>
                <a:ext uri="{84589F7E-364E-4C9E-8A38-B11213B215E9}">
                  <a14:cameraTool cellRange="DADOS!$A$53:$K$57" spid="_x0000_s204416"/>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xdr:cNvPicPr>
              <a:picLocks noChangeArrowheads="1"/>
              <a:extLst>
                <a:ext uri="{84589F7E-364E-4C9E-8A38-B11213B215E9}">
                  <a14:cameraTool cellRange="PO!$T$1:$T$2" spid="_x0000_s204417"/>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31</xdr:row>
          <xdr:rowOff>0</xdr:rowOff>
        </xdr:from>
        <xdr:to>
          <xdr:col>23</xdr:col>
          <xdr:colOff>0</xdr:colOff>
          <xdr:row>35</xdr:row>
          <xdr:rowOff>142875</xdr:rowOff>
        </xdr:to>
        <xdr:pic>
          <xdr:nvPicPr>
            <xdr:cNvPr id="200684" name="Picture 483"/>
            <xdr:cNvPicPr>
              <a:picLocks noChangeArrowheads="1"/>
              <a:extLst>
                <a:ext uri="{84589F7E-364E-4C9E-8A38-B11213B215E9}">
                  <a14:cameraTool cellRange="DADOS!$A$53:$K$57" spid="_x0000_s204418"/>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xdr:cNvPicPr>
              <a:picLocks noChangeArrowheads="1"/>
              <a:extLst>
                <a:ext uri="{84589F7E-364E-4C9E-8A38-B11213B215E9}">
                  <a14:cameraTool cellRange="PO!$T$1:$T$2" spid="_x0000_s204419"/>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5" zoomScaleNormal="100" zoomScaleSheetLayoutView="100" workbookViewId="0">
      <selection activeCell="C38" sqref="C38"/>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59" t="s">
        <v>2</v>
      </c>
      <c r="C1" s="259"/>
      <c r="D1" s="259"/>
      <c r="E1" s="259"/>
      <c r="F1" s="259"/>
      <c r="G1" s="259"/>
      <c r="H1" s="259"/>
      <c r="I1" s="259"/>
      <c r="J1" s="259"/>
      <c r="K1" s="259"/>
      <c r="L1" s="259"/>
      <c r="M1" s="259"/>
      <c r="N1" s="259"/>
      <c r="O1" s="259"/>
      <c r="P1" s="259"/>
      <c r="Q1" s="259"/>
      <c r="R1" s="259"/>
      <c r="S1" s="259"/>
      <c r="T1" s="259"/>
      <c r="U1" s="259"/>
      <c r="V1" s="259"/>
      <c r="W1" s="259"/>
      <c r="X1" s="260"/>
    </row>
    <row r="2" spans="1:25" ht="13.5" customHeight="1" x14ac:dyDescent="0.2">
      <c r="A2" s="105" t="s">
        <v>228</v>
      </c>
      <c r="B2" s="261"/>
      <c r="C2" s="261"/>
      <c r="D2" s="261"/>
      <c r="E2" s="261"/>
      <c r="F2" s="261"/>
      <c r="G2" s="261"/>
      <c r="H2" s="261"/>
      <c r="I2" s="261"/>
      <c r="J2" s="261"/>
      <c r="K2" s="261"/>
      <c r="L2" s="261"/>
      <c r="M2" s="261"/>
      <c r="N2" s="261"/>
      <c r="O2" s="261"/>
      <c r="P2" s="261"/>
      <c r="Q2" s="261"/>
      <c r="R2" s="261"/>
      <c r="S2" s="261"/>
      <c r="T2" s="261"/>
      <c r="U2" s="261"/>
      <c r="V2" s="261"/>
      <c r="W2" s="261"/>
      <c r="X2" s="262"/>
    </row>
    <row r="3" spans="1:25" ht="13.5" customHeight="1" x14ac:dyDescent="0.2">
      <c r="A3" s="1"/>
      <c r="B3" s="1"/>
      <c r="F3" s="1"/>
      <c r="G3" s="1"/>
      <c r="H3" s="1"/>
    </row>
    <row r="4" spans="1:25" s="21" customFormat="1" ht="12.75" customHeight="1" x14ac:dyDescent="0.2">
      <c r="A4" s="271" t="s">
        <v>168</v>
      </c>
      <c r="B4" s="271"/>
      <c r="C4" s="271"/>
      <c r="D4" s="271"/>
      <c r="E4" s="271"/>
      <c r="F4" s="271"/>
      <c r="G4" s="271"/>
      <c r="H4" s="271"/>
      <c r="I4" s="271"/>
      <c r="J4" s="271"/>
      <c r="K4" s="271"/>
      <c r="L4" s="271"/>
      <c r="M4" s="271"/>
      <c r="N4" s="271"/>
      <c r="O4" s="271"/>
      <c r="P4" s="271"/>
      <c r="Q4" s="271"/>
      <c r="R4" s="271"/>
      <c r="S4" s="271"/>
      <c r="T4" s="271"/>
      <c r="U4" s="271"/>
      <c r="V4" s="271"/>
      <c r="W4" s="271"/>
      <c r="X4" s="271"/>
    </row>
    <row r="5" spans="1:25" s="21" customFormat="1" x14ac:dyDescent="0.2">
      <c r="A5" s="22"/>
      <c r="B5" s="22"/>
      <c r="F5" s="23"/>
      <c r="G5" s="23"/>
      <c r="H5" s="23"/>
    </row>
    <row r="6" spans="1:25" s="22" customFormat="1" ht="24.95" customHeight="1" x14ac:dyDescent="0.2">
      <c r="A6" s="272" t="s">
        <v>179</v>
      </c>
      <c r="B6" s="273"/>
      <c r="C6" s="273"/>
      <c r="D6" s="273"/>
      <c r="E6" s="273"/>
      <c r="F6" s="273"/>
      <c r="G6" s="273"/>
      <c r="H6" s="273"/>
      <c r="I6" s="273"/>
      <c r="J6" s="273"/>
      <c r="K6" s="273"/>
      <c r="L6" s="273"/>
      <c r="M6" s="273"/>
      <c r="N6" s="273"/>
      <c r="O6" s="273"/>
      <c r="P6" s="273"/>
      <c r="Q6" s="273"/>
      <c r="R6" s="273"/>
      <c r="S6" s="273"/>
      <c r="T6" s="273"/>
      <c r="U6" s="273"/>
      <c r="V6" s="273"/>
      <c r="W6" s="273"/>
      <c r="X6" s="273"/>
    </row>
    <row r="7" spans="1:25" s="21" customFormat="1" ht="12.75" customHeight="1" x14ac:dyDescent="0.2">
      <c r="A7" s="22"/>
      <c r="B7" s="22"/>
      <c r="F7" s="23"/>
      <c r="G7" s="23"/>
      <c r="H7" s="23"/>
    </row>
    <row r="8" spans="1:25" s="21" customFormat="1" ht="12.75" customHeight="1" x14ac:dyDescent="0.2">
      <c r="A8" s="274" t="s">
        <v>23</v>
      </c>
      <c r="B8" s="274"/>
      <c r="C8" s="274"/>
      <c r="D8" s="274"/>
      <c r="E8" s="274"/>
      <c r="F8" s="274"/>
      <c r="G8" s="274"/>
      <c r="H8" s="274"/>
      <c r="I8" s="274"/>
      <c r="J8" s="274"/>
      <c r="K8" s="274"/>
      <c r="L8" s="274"/>
      <c r="M8" s="274"/>
      <c r="N8" s="274"/>
      <c r="O8" s="274"/>
      <c r="P8" s="274"/>
      <c r="Q8" s="274"/>
      <c r="R8" s="274"/>
      <c r="S8" s="274"/>
      <c r="T8" s="274"/>
      <c r="U8" s="274"/>
      <c r="V8" s="274"/>
      <c r="W8" s="274"/>
      <c r="X8" s="274"/>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6" t="s">
        <v>169</v>
      </c>
      <c r="B10" s="276"/>
      <c r="C10" s="276"/>
      <c r="D10" s="276"/>
      <c r="E10" s="276"/>
      <c r="F10" s="276"/>
      <c r="G10" s="276"/>
      <c r="H10" s="276"/>
      <c r="I10" s="276"/>
      <c r="J10" s="276"/>
      <c r="K10" s="276"/>
      <c r="L10" s="276"/>
      <c r="M10" s="276"/>
      <c r="N10" s="276"/>
      <c r="O10" s="276"/>
      <c r="P10" s="276"/>
      <c r="Q10" s="276"/>
      <c r="R10" s="276"/>
      <c r="S10" s="276"/>
      <c r="T10" s="276"/>
      <c r="U10" s="276"/>
      <c r="V10" s="276"/>
      <c r="W10" s="276"/>
      <c r="X10" s="276"/>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6" t="s">
        <v>1</v>
      </c>
      <c r="B12" s="276"/>
      <c r="C12" s="276"/>
      <c r="D12" s="276"/>
      <c r="E12" s="276"/>
      <c r="F12" s="276"/>
      <c r="G12" s="276"/>
      <c r="H12" s="276"/>
      <c r="I12" s="276"/>
      <c r="J12" s="276"/>
      <c r="K12" s="276"/>
      <c r="L12" s="276"/>
      <c r="M12" s="276"/>
      <c r="N12" s="276"/>
      <c r="O12" s="276"/>
      <c r="P12" s="276"/>
      <c r="Q12" s="276"/>
      <c r="R12" s="276"/>
      <c r="S12" s="276"/>
      <c r="T12" s="276"/>
      <c r="U12" s="276"/>
      <c r="V12" s="276"/>
      <c r="W12" s="276"/>
      <c r="X12" s="276"/>
    </row>
    <row r="13" spans="1:25" s="21" customFormat="1" x14ac:dyDescent="0.2">
      <c r="A13" s="22"/>
      <c r="B13" s="22"/>
      <c r="F13" s="23"/>
      <c r="G13" s="23"/>
      <c r="H13" s="23"/>
    </row>
    <row r="14" spans="1:25" s="21" customFormat="1" x14ac:dyDescent="0.2">
      <c r="A14" s="275" t="s">
        <v>24</v>
      </c>
      <c r="B14" s="274"/>
      <c r="C14" s="274"/>
      <c r="D14" s="274"/>
      <c r="E14" s="274"/>
      <c r="F14" s="274"/>
      <c r="G14" s="274"/>
      <c r="H14" s="274"/>
      <c r="I14" s="274"/>
      <c r="J14" s="274"/>
      <c r="K14" s="274"/>
      <c r="L14" s="274"/>
      <c r="M14" s="274"/>
      <c r="N14" s="274"/>
      <c r="O14" s="274"/>
      <c r="P14" s="274"/>
      <c r="Q14" s="274"/>
      <c r="R14" s="274"/>
      <c r="S14" s="274"/>
      <c r="T14" s="274"/>
      <c r="U14" s="274"/>
      <c r="V14" s="274"/>
      <c r="W14" s="274"/>
      <c r="X14" s="274"/>
    </row>
    <row r="15" spans="1:25" s="21" customFormat="1" x14ac:dyDescent="0.2">
      <c r="A15" s="22"/>
      <c r="B15" s="22"/>
      <c r="F15" s="23"/>
      <c r="G15" s="23"/>
      <c r="H15" s="23"/>
    </row>
    <row r="16" spans="1:25" s="21" customFormat="1" x14ac:dyDescent="0.2">
      <c r="A16" s="242" t="s">
        <v>186</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4" t="s">
        <v>187</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2" t="s">
        <v>189</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4" t="s">
        <v>190</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0" t="s">
        <v>191</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
      <c r="A27" s="25"/>
      <c r="B27" s="25"/>
      <c r="F27" s="23"/>
      <c r="G27" s="23"/>
      <c r="H27" s="23"/>
    </row>
    <row r="28" spans="1:25" ht="12.75" customHeight="1" x14ac:dyDescent="0.2">
      <c r="A28" s="238" t="s">
        <v>177</v>
      </c>
      <c r="B28" s="249"/>
      <c r="C28" s="238" t="s">
        <v>170</v>
      </c>
      <c r="D28" s="239"/>
      <c r="E28" s="249"/>
      <c r="F28" s="238" t="s">
        <v>171</v>
      </c>
      <c r="G28" s="239"/>
      <c r="H28" s="239"/>
      <c r="I28" s="249"/>
      <c r="J28" s="238" t="s">
        <v>172</v>
      </c>
      <c r="K28" s="239"/>
      <c r="L28" s="239"/>
      <c r="M28" s="239"/>
      <c r="N28" s="239"/>
      <c r="O28" s="249"/>
      <c r="P28" s="238" t="s">
        <v>0</v>
      </c>
      <c r="Q28" s="239"/>
      <c r="R28" s="239"/>
      <c r="S28" s="239"/>
      <c r="T28" s="239"/>
      <c r="U28" s="239"/>
      <c r="V28" s="239"/>
      <c r="W28" s="239"/>
      <c r="X28" s="249"/>
    </row>
    <row r="29" spans="1:25" ht="12.75" customHeight="1" x14ac:dyDescent="0.2">
      <c r="A29" s="250"/>
      <c r="B29" s="251"/>
      <c r="C29" s="233" t="s">
        <v>229</v>
      </c>
      <c r="D29" s="234"/>
      <c r="E29" s="235"/>
      <c r="F29" s="250"/>
      <c r="G29" s="308"/>
      <c r="H29" s="308"/>
      <c r="I29" s="251"/>
      <c r="J29" s="250" t="s">
        <v>230</v>
      </c>
      <c r="K29" s="308"/>
      <c r="L29" s="308"/>
      <c r="M29" s="308"/>
      <c r="N29" s="308"/>
      <c r="O29" s="251"/>
      <c r="P29" s="233" t="s">
        <v>234</v>
      </c>
      <c r="Q29" s="308"/>
      <c r="R29" s="308"/>
      <c r="S29" s="308"/>
      <c r="T29" s="308"/>
      <c r="U29" s="308"/>
      <c r="V29" s="308"/>
      <c r="W29" s="308"/>
      <c r="X29" s="251"/>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38" t="s">
        <v>173</v>
      </c>
      <c r="B31" s="239"/>
      <c r="C31" s="239"/>
      <c r="D31" s="239"/>
      <c r="E31" s="239"/>
      <c r="F31" s="249"/>
      <c r="G31" s="238" t="s">
        <v>174</v>
      </c>
      <c r="H31" s="239"/>
      <c r="I31" s="239"/>
      <c r="J31" s="249"/>
      <c r="K31" s="238" t="s">
        <v>175</v>
      </c>
      <c r="L31" s="239"/>
      <c r="M31" s="239"/>
      <c r="N31" s="239"/>
      <c r="O31" s="239"/>
      <c r="P31" s="249"/>
      <c r="Q31" s="238" t="s">
        <v>180</v>
      </c>
      <c r="R31" s="239"/>
      <c r="S31" s="239"/>
      <c r="T31" s="239"/>
      <c r="U31" s="239"/>
      <c r="V31" s="239"/>
      <c r="W31" s="239"/>
      <c r="X31" s="249"/>
    </row>
    <row r="32" spans="1:25" x14ac:dyDescent="0.2">
      <c r="A32" s="309" t="s">
        <v>231</v>
      </c>
      <c r="B32" s="310"/>
      <c r="C32" s="310"/>
      <c r="D32" s="310"/>
      <c r="E32" s="310"/>
      <c r="F32" s="311"/>
      <c r="G32" s="233" t="s">
        <v>232</v>
      </c>
      <c r="H32" s="234"/>
      <c r="I32" s="234"/>
      <c r="J32" s="235"/>
      <c r="K32" s="250" t="s">
        <v>233</v>
      </c>
      <c r="L32" s="308"/>
      <c r="M32" s="308"/>
      <c r="N32" s="308"/>
      <c r="O32" s="308"/>
      <c r="P32" s="251"/>
      <c r="Q32" s="233" t="s">
        <v>230</v>
      </c>
      <c r="R32" s="308"/>
      <c r="S32" s="308"/>
      <c r="T32" s="308"/>
      <c r="U32" s="308"/>
      <c r="V32" s="308"/>
      <c r="W32" s="308"/>
      <c r="X32" s="251"/>
    </row>
    <row r="33" spans="1:24" s="21" customFormat="1" ht="9" customHeight="1" x14ac:dyDescent="0.2">
      <c r="A33" s="22"/>
      <c r="B33" s="22"/>
      <c r="F33" s="23"/>
      <c r="G33" s="23"/>
      <c r="H33" s="23"/>
    </row>
    <row r="34" spans="1:24" s="27" customFormat="1" x14ac:dyDescent="0.2"/>
    <row r="35" spans="1:24" s="21" customFormat="1" ht="12.75" customHeight="1" x14ac:dyDescent="0.2">
      <c r="A35" s="240" t="s">
        <v>192</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
      <c r="A38" s="255">
        <v>45231</v>
      </c>
      <c r="B38" s="256"/>
      <c r="C38" s="91" t="s">
        <v>235</v>
      </c>
      <c r="D38" s="233" t="s">
        <v>78</v>
      </c>
      <c r="E38" s="234"/>
      <c r="F38" s="235"/>
      <c r="G38" s="233" t="s">
        <v>260</v>
      </c>
      <c r="H38" s="234"/>
      <c r="I38" s="234"/>
      <c r="J38" s="234"/>
      <c r="K38" s="234"/>
      <c r="L38" s="234"/>
      <c r="M38" s="234"/>
      <c r="N38" s="234"/>
      <c r="O38" s="234"/>
      <c r="P38" s="234"/>
      <c r="Q38" s="234"/>
      <c r="R38" s="234"/>
      <c r="S38" s="235"/>
      <c r="T38" s="95">
        <f ca="1">IF(ISERROR(INDIRECT("'BDI ("&amp;RIGHT(T37,1)&amp;")'!N27")),"",INDIRECT("'BDI ("&amp;RIGHT(T37,1)&amp;")'!N27"))</f>
        <v>0.19600000000000001</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0" t="s">
        <v>162</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38" t="s">
        <v>87</v>
      </c>
      <c r="B42" s="249"/>
      <c r="C42" s="238" t="s">
        <v>111</v>
      </c>
      <c r="D42" s="239"/>
      <c r="E42" s="239"/>
      <c r="F42" s="239"/>
      <c r="G42" s="239"/>
      <c r="H42" s="238" t="s">
        <v>16</v>
      </c>
      <c r="I42" s="239"/>
      <c r="J42" s="28" t="s">
        <v>91</v>
      </c>
      <c r="K42" s="238" t="s">
        <v>88</v>
      </c>
      <c r="L42" s="239"/>
      <c r="M42" s="249"/>
      <c r="N42" s="28" t="s">
        <v>92</v>
      </c>
      <c r="O42" s="238" t="s">
        <v>93</v>
      </c>
      <c r="P42" s="239"/>
      <c r="Q42" s="239"/>
      <c r="R42" s="239"/>
      <c r="S42" s="239"/>
      <c r="T42" s="249"/>
      <c r="U42" s="257" t="s">
        <v>89</v>
      </c>
      <c r="V42" s="258"/>
      <c r="W42" s="257" t="s">
        <v>90</v>
      </c>
      <c r="X42" s="258"/>
    </row>
    <row r="43" spans="1:24" s="21" customFormat="1" ht="12.75" customHeight="1" x14ac:dyDescent="0.2">
      <c r="A43" s="278"/>
      <c r="B43" s="279"/>
      <c r="C43" s="233"/>
      <c r="D43" s="234"/>
      <c r="E43" s="234"/>
      <c r="F43" s="234"/>
      <c r="G43" s="234"/>
      <c r="H43" s="255"/>
      <c r="I43" s="256"/>
      <c r="J43" s="88"/>
      <c r="K43" s="312"/>
      <c r="L43" s="313"/>
      <c r="M43" s="314"/>
      <c r="N43" s="104"/>
      <c r="O43" s="266"/>
      <c r="P43" s="267"/>
      <c r="Q43" s="267"/>
      <c r="R43" s="268"/>
      <c r="S43" s="268"/>
      <c r="T43" s="269"/>
      <c r="U43" s="264"/>
      <c r="V43" s="270"/>
      <c r="W43" s="264"/>
      <c r="X43" s="265"/>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0" t="s">
        <v>193</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2"/>
      <c r="B48" s="293"/>
      <c r="C48" s="294"/>
      <c r="E48" s="37"/>
    </row>
    <row r="49" spans="1:24" s="21" customFormat="1" x14ac:dyDescent="0.2">
      <c r="A49" s="22"/>
      <c r="B49" s="22"/>
      <c r="F49" s="33"/>
      <c r="G49" s="34"/>
      <c r="H49" s="35"/>
    </row>
    <row r="50" spans="1:24" s="21" customFormat="1" x14ac:dyDescent="0.2">
      <c r="A50" s="240" t="s">
        <v>194</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261</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140</v>
      </c>
      <c r="B54" s="295" t="s">
        <v>262</v>
      </c>
      <c r="C54" s="296"/>
      <c r="D54" s="296"/>
      <c r="E54" s="296"/>
      <c r="F54" s="33"/>
      <c r="G54" s="101" t="s">
        <v>140</v>
      </c>
      <c r="H54" s="296"/>
      <c r="I54" s="296"/>
      <c r="J54" s="296"/>
      <c r="K54" s="296"/>
      <c r="L54" s="2"/>
      <c r="M54"/>
      <c r="N54"/>
      <c r="O54"/>
      <c r="P54"/>
      <c r="Q54"/>
      <c r="R54"/>
      <c r="S54"/>
      <c r="T54"/>
      <c r="U54"/>
      <c r="V54"/>
      <c r="W54"/>
      <c r="X54"/>
    </row>
    <row r="55" spans="1:24" s="21" customFormat="1" x14ac:dyDescent="0.2">
      <c r="A55" s="101" t="str">
        <f>IF(OR(TipoOrçamento="BASE",TipoOrçamento="REPROGRAMADONPL"),"Título:","Cargo:")</f>
        <v>Título:</v>
      </c>
      <c r="B55" s="295" t="s">
        <v>263</v>
      </c>
      <c r="C55" s="296"/>
      <c r="D55" s="296"/>
      <c r="E55" s="296"/>
      <c r="F55" s="33"/>
      <c r="G55" s="101" t="str">
        <f>A55</f>
        <v>Título:</v>
      </c>
      <c r="H55" s="296"/>
      <c r="I55" s="296"/>
      <c r="J55" s="296"/>
      <c r="K55" s="296"/>
      <c r="L55" s="2"/>
      <c r="M55"/>
      <c r="N55"/>
      <c r="O55"/>
      <c r="P55"/>
      <c r="Q55"/>
      <c r="R55"/>
      <c r="S55"/>
      <c r="T55"/>
      <c r="U55"/>
      <c r="V55"/>
      <c r="W55"/>
      <c r="X55"/>
    </row>
    <row r="56" spans="1:24" s="21" customFormat="1" x14ac:dyDescent="0.2">
      <c r="A56" s="101" t="str">
        <f>IF(OR(TipoOrçamento="BASE",TipoOrçamento="REPROGRAMADONPL"),"CREA/CAU:","Empresa:")</f>
        <v>CREA/CAU:</v>
      </c>
      <c r="B56" s="277" t="s">
        <v>264</v>
      </c>
      <c r="C56" s="263"/>
      <c r="D56" s="263"/>
      <c r="E56" s="263"/>
      <c r="F56" s="33"/>
      <c r="G56" s="101" t="str">
        <f>A56</f>
        <v>CREA/CAU:</v>
      </c>
      <c r="H56" s="263"/>
      <c r="I56" s="263"/>
      <c r="J56" s="263"/>
      <c r="K56" s="263"/>
      <c r="L56" s="2"/>
      <c r="M56"/>
      <c r="N56"/>
      <c r="O56"/>
      <c r="P56"/>
      <c r="Q56"/>
      <c r="R56"/>
      <c r="S56"/>
      <c r="T56"/>
      <c r="U56"/>
      <c r="V56"/>
      <c r="W56"/>
      <c r="X56"/>
    </row>
    <row r="57" spans="1:24" s="21" customFormat="1" x14ac:dyDescent="0.2">
      <c r="A57" s="101" t="str">
        <f>IF(OR(TipoOrçamento="BASE",TipoOrçamento="REPROGRAMADONPL"),"ART/RRT:","CNPJ:")</f>
        <v>ART/RRT:</v>
      </c>
      <c r="B57" s="277" t="s">
        <v>265</v>
      </c>
      <c r="C57" s="263"/>
      <c r="D57" s="263"/>
      <c r="E57" s="263"/>
      <c r="F57" s="33"/>
      <c r="G57" s="101" t="str">
        <f>A57</f>
        <v>ART/RRT:</v>
      </c>
      <c r="H57" s="263"/>
      <c r="I57" s="263"/>
      <c r="J57" s="263"/>
      <c r="K57" s="263"/>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4" t="s">
        <v>195</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2" t="s">
        <v>196</v>
      </c>
      <c r="B62" s="253"/>
      <c r="C62" s="254"/>
      <c r="D62" s="254"/>
      <c r="E62" s="254"/>
      <c r="F62" s="254"/>
      <c r="G62" s="254"/>
      <c r="H62" s="254"/>
      <c r="I62" s="254"/>
      <c r="J62" s="254"/>
      <c r="K62" s="254"/>
      <c r="L62" s="254"/>
      <c r="M62" s="254"/>
      <c r="N62" s="254"/>
      <c r="O62" s="254"/>
      <c r="P62" s="254"/>
      <c r="Q62" s="254"/>
      <c r="R62" s="254"/>
      <c r="S62" s="254"/>
      <c r="T62" s="254"/>
      <c r="U62" s="254"/>
      <c r="V62" s="254"/>
      <c r="W62" s="254"/>
      <c r="X62" s="254"/>
    </row>
    <row r="63" spans="1:24" s="21" customFormat="1" ht="30" customHeight="1" x14ac:dyDescent="0.2">
      <c r="A63" s="252" t="s">
        <v>197</v>
      </c>
      <c r="B63" s="252"/>
      <c r="C63" s="297"/>
      <c r="D63" s="297"/>
      <c r="E63" s="297"/>
      <c r="F63" s="297"/>
      <c r="G63" s="297"/>
      <c r="H63" s="297"/>
      <c r="I63" s="297"/>
      <c r="J63" s="297"/>
      <c r="K63" s="297"/>
      <c r="L63" s="297"/>
      <c r="M63" s="297"/>
      <c r="N63" s="297"/>
      <c r="O63" s="297"/>
      <c r="P63" s="297"/>
      <c r="Q63" s="297"/>
      <c r="R63" s="297"/>
      <c r="S63" s="297"/>
      <c r="T63" s="297"/>
      <c r="U63" s="297"/>
      <c r="V63" s="297"/>
      <c r="W63" s="297"/>
      <c r="X63" s="297"/>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4" t="s">
        <v>198</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0" t="s">
        <v>199</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
      <c r="A68" s="240" t="s">
        <v>200</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
      <c r="A69" s="240" t="s">
        <v>201</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
      <c r="A70" s="240" t="s">
        <v>202</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
      <c r="A71" s="240" t="s">
        <v>203</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
      <c r="A72" s="240" t="s">
        <v>204</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
      <c r="A73" s="22"/>
      <c r="B73" s="22"/>
      <c r="F73" s="33"/>
      <c r="G73" s="34"/>
      <c r="H73" s="35"/>
    </row>
    <row r="74" spans="1:24" s="21" customFormat="1" ht="12.75" customHeight="1" x14ac:dyDescent="0.2">
      <c r="A74" s="244" t="s">
        <v>205</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0" t="s">
        <v>206</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
      <c r="A77" s="236" t="s">
        <v>207</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
      <c r="A78" s="240" t="s">
        <v>208</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
      <c r="A79" s="240" t="s">
        <v>209</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
      <c r="A80" s="236" t="s">
        <v>210</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
      <c r="A81" s="240" t="s">
        <v>211</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
      <c r="A82" s="240" t="s">
        <v>212</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
      <c r="A83" s="240" t="s">
        <v>213</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
      <c r="A84" s="240" t="s">
        <v>214</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
      <c r="A85" s="240" t="s">
        <v>215</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
      <c r="A86" s="236" t="s">
        <v>216</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
      <c r="A87" s="240" t="s">
        <v>217</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
      <c r="A88" s="240" t="s">
        <v>218</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
      <c r="A90" s="244" t="s">
        <v>219</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0" t="s">
        <v>220</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
      <c r="A93" s="236" t="s">
        <v>221</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
      <c r="A94" s="240" t="s">
        <v>222</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
      <c r="A95" s="240" t="s">
        <v>223</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
      <c r="A97" s="244" t="s">
        <v>224</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
      <c r="A99" s="240" t="s">
        <v>225</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
      <c r="A100" s="240" t="s">
        <v>226</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
      <c r="A101" s="240" t="s">
        <v>227</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131</v>
      </c>
      <c r="O107" s="82"/>
      <c r="P107" s="38"/>
      <c r="Q107" s="82"/>
    </row>
    <row r="108" spans="1:24" ht="12.75" customHeight="1" x14ac:dyDescent="0.2">
      <c r="A108"/>
      <c r="E108"/>
      <c r="F108"/>
      <c r="G108" s="31"/>
      <c r="H108" s="31"/>
      <c r="L108" s="82" t="s">
        <v>132</v>
      </c>
      <c r="P108" s="31"/>
      <c r="S108" s="208">
        <f ca="1">T38</f>
        <v>0.19600000000000001</v>
      </c>
    </row>
    <row r="109" spans="1:24" x14ac:dyDescent="0.2">
      <c r="A109"/>
      <c r="E109"/>
      <c r="F109"/>
      <c r="G109" s="31"/>
      <c r="H109" s="31"/>
      <c r="L109" s="82" t="s">
        <v>133</v>
      </c>
      <c r="P109" s="31"/>
      <c r="S109" s="208" t="str">
        <f ca="1">U38</f>
        <v/>
      </c>
    </row>
    <row r="110" spans="1:24" ht="12.75" customHeight="1" x14ac:dyDescent="0.2">
      <c r="A110"/>
      <c r="E110"/>
      <c r="F110"/>
      <c r="G110" s="31"/>
      <c r="H110" s="31"/>
      <c r="L110" s="82" t="s">
        <v>134</v>
      </c>
      <c r="P110" s="31"/>
      <c r="S110" s="208" t="str">
        <f ca="1">V38</f>
        <v/>
      </c>
    </row>
    <row r="111" spans="1:24" x14ac:dyDescent="0.2">
      <c r="A111"/>
      <c r="E111"/>
      <c r="F111"/>
      <c r="G111" s="31"/>
      <c r="H111" s="31"/>
      <c r="L111" s="82" t="s">
        <v>135</v>
      </c>
      <c r="P111" s="31"/>
      <c r="S111" s="208" t="str">
        <f ca="1">W38</f>
        <v/>
      </c>
    </row>
    <row r="112" spans="1:24" ht="12.75" customHeight="1" x14ac:dyDescent="0.2">
      <c r="A112"/>
      <c r="E112"/>
      <c r="F112"/>
      <c r="G112" s="31"/>
      <c r="H112" s="31"/>
      <c r="L112" s="82" t="s">
        <v>136</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112</v>
      </c>
    </row>
    <row r="116" spans="1:16" x14ac:dyDescent="0.2">
      <c r="A116"/>
      <c r="H116" s="38"/>
      <c r="L116" s="82" t="s">
        <v>69</v>
      </c>
      <c r="P116" s="1" t="s">
        <v>113</v>
      </c>
    </row>
    <row r="117" spans="1:16" x14ac:dyDescent="0.2">
      <c r="A117"/>
      <c r="L117" s="82" t="s">
        <v>70</v>
      </c>
      <c r="P117" s="1" t="s">
        <v>114</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
      <c r="A221" s="282" t="str">
        <f>IF(A29="","",A29)</f>
        <v/>
      </c>
      <c r="B221" s="284"/>
      <c r="C221" s="282" t="str">
        <f>IF(C29="","",C29)</f>
        <v>MUNICÍPIO DE UBIRETAMA</v>
      </c>
      <c r="D221" s="283"/>
      <c r="E221" s="284"/>
      <c r="F221" s="282" t="str">
        <f>IF(F29="","",F29)</f>
        <v/>
      </c>
      <c r="G221" s="283"/>
      <c r="H221" s="283"/>
      <c r="I221" s="284"/>
      <c r="J221" s="282" t="str">
        <f>IF(J29="","",J29)</f>
        <v>CALÇAMENTO</v>
      </c>
      <c r="K221" s="283"/>
      <c r="L221" s="283" t="e">
        <f>IF(#REF!="","",#REF!)</f>
        <v>#REF!</v>
      </c>
      <c r="M221" s="283"/>
      <c r="N221" s="283" t="e">
        <f>IF(#REF!="","",#REF!)</f>
        <v>#REF!</v>
      </c>
      <c r="O221" s="284"/>
      <c r="P221" s="282" t="str">
        <f>IF(P29="","",P29)</f>
        <v>PAVIMENTAÇÃO COM CALÇAMENTO COM PEDRAS BASÁLTICAS IRREGULARES LINHA NATAL SUL, INTERIOR (ZONA RURAL) DO MUNICIPIO DE UBIRETAMA/RS</v>
      </c>
      <c r="Q221" s="283"/>
      <c r="R221" s="283"/>
      <c r="S221" s="283"/>
      <c r="T221" s="283"/>
      <c r="U221" s="283"/>
      <c r="V221" s="283"/>
      <c r="W221" s="283"/>
      <c r="X221" s="284"/>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
      <c r="A224" s="280" t="str">
        <f>IF(A32="","",A32)</f>
        <v>PREFEITURA MUNICIPAL DE UBIRETAMA/RS</v>
      </c>
      <c r="B224" s="281"/>
      <c r="C224" s="281"/>
      <c r="D224" s="281"/>
      <c r="E224" s="281"/>
      <c r="F224" s="281"/>
      <c r="G224" s="282" t="str">
        <f>IF(G32="","",G32)</f>
        <v>UBIRETAMA/RS</v>
      </c>
      <c r="H224" s="283" t="str">
        <f>IF(I32="","",I32)</f>
        <v/>
      </c>
      <c r="I224" s="283"/>
      <c r="J224" s="284" t="e">
        <f>IF(#REF!="","",#REF!)</f>
        <v>#REF!</v>
      </c>
      <c r="K224" s="282" t="str">
        <f>IF(K32="","",K32)</f>
        <v>LINHA NATAL SUL/INTERIOR</v>
      </c>
      <c r="L224" s="283"/>
      <c r="M224" s="283"/>
      <c r="N224" s="283"/>
      <c r="O224" s="283"/>
      <c r="P224" s="284"/>
      <c r="Q224" s="282" t="str">
        <f>IF(Q32="","",Q32)</f>
        <v>CALÇAMENTO</v>
      </c>
      <c r="R224" s="283"/>
      <c r="S224" s="283"/>
      <c r="T224" s="283"/>
      <c r="U224" s="283"/>
      <c r="V224" s="283"/>
      <c r="W224" s="283"/>
      <c r="X224" s="284"/>
    </row>
    <row r="225" spans="1:24" ht="6"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x14ac:dyDescent="0.2">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customHeight="1" x14ac:dyDescent="0.2">
      <c r="A227" s="287">
        <f>IF(A38="","",A38)</f>
        <v>45231</v>
      </c>
      <c r="B227" s="288"/>
      <c r="C227" s="137" t="str">
        <f t="shared" ref="C227:X227" si="0">IF(C38="","",C38)</f>
        <v>Não</v>
      </c>
      <c r="D227" s="289" t="str">
        <f t="shared" si="0"/>
        <v>Porto Alegre / RS</v>
      </c>
      <c r="E227" s="290" t="str">
        <f t="shared" si="0"/>
        <v/>
      </c>
      <c r="F227" s="291" t="str">
        <f t="shared" si="0"/>
        <v/>
      </c>
      <c r="G227" s="289" t="str">
        <f t="shared" si="0"/>
        <v>PAVIMENTAÇÃO COM CALÇAMENTO COM PEDRAS BASÁLTICAS IRREGULARES LINHA NATAL SUL, INTERIOR (ZONA RURAL)</v>
      </c>
      <c r="H227" s="290" t="str">
        <f t="shared" si="0"/>
        <v/>
      </c>
      <c r="I227" s="290" t="str">
        <f t="shared" si="0"/>
        <v/>
      </c>
      <c r="J227" s="290" t="str">
        <f t="shared" si="0"/>
        <v/>
      </c>
      <c r="K227" s="290" t="str">
        <f t="shared" si="0"/>
        <v/>
      </c>
      <c r="L227" s="290" t="str">
        <f t="shared" si="0"/>
        <v/>
      </c>
      <c r="M227" s="290" t="str">
        <f t="shared" si="0"/>
        <v/>
      </c>
      <c r="N227" s="290" t="str">
        <f t="shared" si="0"/>
        <v/>
      </c>
      <c r="O227" s="290" t="str">
        <f t="shared" si="0"/>
        <v/>
      </c>
      <c r="P227" s="290" t="str">
        <f t="shared" si="0"/>
        <v/>
      </c>
      <c r="Q227" s="290" t="str">
        <f t="shared" si="0"/>
        <v/>
      </c>
      <c r="R227" s="290" t="str">
        <f t="shared" si="0"/>
        <v/>
      </c>
      <c r="S227" s="291" t="str">
        <f t="shared" si="0"/>
        <v/>
      </c>
      <c r="T227" s="139">
        <f t="shared" ca="1" si="0"/>
        <v>0.19600000000000001</v>
      </c>
      <c r="U227" s="96" t="str">
        <f t="shared" ca="1" si="0"/>
        <v/>
      </c>
      <c r="V227" s="96" t="str">
        <f t="shared" ca="1" si="0"/>
        <v/>
      </c>
      <c r="W227" s="96" t="str">
        <f t="shared" ca="1" si="0"/>
        <v/>
      </c>
      <c r="X227" s="96" t="str">
        <f t="shared" ca="1" si="0"/>
        <v/>
      </c>
    </row>
    <row r="228" spans="1:24" ht="6" hidden="1"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hidden="1" customHeight="1" x14ac:dyDescent="0.2">
      <c r="A229" s="246" t="s">
        <v>87</v>
      </c>
      <c r="B229" s="248"/>
      <c r="C229" s="246" t="s">
        <v>163</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5" t="s">
        <v>89</v>
      </c>
      <c r="V229" s="286"/>
      <c r="W229" s="285" t="s">
        <v>90</v>
      </c>
      <c r="X229" s="286"/>
    </row>
    <row r="230" spans="1:24" s="21" customFormat="1" ht="12.75" hidden="1" customHeight="1" x14ac:dyDescent="0.2">
      <c r="A230" s="289" t="str">
        <f>IF(A43="","",A43)</f>
        <v/>
      </c>
      <c r="B230" s="291"/>
      <c r="C230" s="289" t="str">
        <f>IF(C43="","",C43)</f>
        <v/>
      </c>
      <c r="D230" s="290"/>
      <c r="E230" s="290" t="str">
        <f>IF(E43="","",E43)</f>
        <v/>
      </c>
      <c r="F230" s="290"/>
      <c r="G230" s="290" t="str">
        <f>IF(G43="","",G43)</f>
        <v/>
      </c>
      <c r="H230" s="306" t="str">
        <f>IF(H43="","",H43)</f>
        <v/>
      </c>
      <c r="I230" s="307" t="str">
        <f>IF(I43="","",I43)</f>
        <v/>
      </c>
      <c r="J230" s="138" t="str">
        <f>IF(J43="","",J43)</f>
        <v/>
      </c>
      <c r="K230" s="298" t="str">
        <f>IF(K43="","",K43)</f>
        <v/>
      </c>
      <c r="L230" s="300"/>
      <c r="M230" s="301" t="str">
        <f>IF(M43="","",M43)</f>
        <v/>
      </c>
      <c r="N230" s="140" t="str">
        <f>IF(N43="","",N43)</f>
        <v/>
      </c>
      <c r="O230" s="298" t="str">
        <f>IF(O43="","",O43)</f>
        <v/>
      </c>
      <c r="P230" s="299"/>
      <c r="Q230" s="299" t="str">
        <f>IF(Q43="","",Q43)</f>
        <v/>
      </c>
      <c r="R230" s="300"/>
      <c r="S230" s="300" t="str">
        <f>IF(S43="","",S43)</f>
        <v/>
      </c>
      <c r="T230" s="301"/>
      <c r="U230" s="304" t="str">
        <f>IF(U43="","",U43)</f>
        <v/>
      </c>
      <c r="V230" s="305"/>
      <c r="W230" s="302" t="str">
        <f>IF(W43="","",W43)</f>
        <v/>
      </c>
      <c r="X230" s="303"/>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130" priority="42" stopIfTrue="1">
      <formula>$B54&lt;&gt;""</formula>
    </cfRule>
  </conditionalFormatting>
  <conditionalFormatting sqref="A48 H54:K54 H55:H56 H57:K57 A29:C29 J29 F29 A32 P29 G32 K32">
    <cfRule type="expression" dxfId="129" priority="48" stopIfTrue="1">
      <formula>A29&lt;&gt;""</formula>
    </cfRule>
  </conditionalFormatting>
  <conditionalFormatting sqref="G53:K54 G55:H56 G57:K57">
    <cfRule type="expression" dxfId="128" priority="43" stopIfTrue="1">
      <formula>$K$52&lt;&gt;"SIM"</formula>
    </cfRule>
  </conditionalFormatting>
  <conditionalFormatting sqref="A40:X43">
    <cfRule type="expression" dxfId="127" priority="56" stopIfTrue="1">
      <formula>OR(TipoOrçamento="BASE",TipoOrçamento="REPROGRAMADONPL")</formula>
    </cfRule>
    <cfRule type="expression" dxfId="126" priority="57" stopIfTrue="1">
      <formula>A40&lt;&gt;""</formula>
    </cfRule>
  </conditionalFormatting>
  <conditionalFormatting sqref="A35:X38">
    <cfRule type="expression" dxfId="125" priority="58" stopIfTrue="1">
      <formula>OR(TipoOrçamento="LICITADO",TipoOrçamento="REPROGRAMADOAC")</formula>
    </cfRule>
    <cfRule type="expression" dxfId="124" priority="59" stopIfTrue="1">
      <formula>A35&lt;&gt;""</formula>
    </cfRule>
  </conditionalFormatting>
  <conditionalFormatting sqref="Q32">
    <cfRule type="expression" dxfId="123"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381000</xdr:colOff>
                    <xdr:row>18</xdr:row>
                    <xdr:rowOff>85725</xdr:rowOff>
                  </from>
                  <to>
                    <xdr:col>5</xdr:col>
                    <xdr:colOff>228600</xdr:colOff>
                    <xdr:row>20</xdr:row>
                    <xdr:rowOff>47625</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228600</xdr:colOff>
                    <xdr:row>18</xdr:row>
                    <xdr:rowOff>85725</xdr:rowOff>
                  </from>
                  <to>
                    <xdr:col>11</xdr:col>
                    <xdr:colOff>142875</xdr:colOff>
                    <xdr:row>20</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Normal="100" zoomScaleSheetLayoutView="100" zoomScalePageLayoutView="70" workbookViewId="0">
      <selection activeCell="O42" sqref="O42:R42"/>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38" t="s">
        <v>150</v>
      </c>
      <c r="J4" s="249"/>
      <c r="K4" s="238" t="s">
        <v>173</v>
      </c>
      <c r="L4" s="239"/>
      <c r="M4" s="239"/>
      <c r="N4" s="239"/>
      <c r="O4" s="239"/>
      <c r="P4" s="239"/>
      <c r="Q4" s="239"/>
      <c r="R4" s="249"/>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3">
        <f>DADOS!A29</f>
        <v>0</v>
      </c>
      <c r="J5" s="344"/>
      <c r="K5" s="345" t="str">
        <f>DADOS!A32</f>
        <v>PREFEITURA MUNICIPAL DE UBIRETAMA/RS</v>
      </c>
      <c r="L5" s="346"/>
      <c r="M5" s="346"/>
      <c r="N5" s="346"/>
      <c r="O5" s="346"/>
      <c r="P5" s="346"/>
      <c r="Q5" s="346"/>
      <c r="R5" s="347"/>
      <c r="S5" s="57"/>
    </row>
    <row r="6" spans="1:29" ht="6" customHeight="1" x14ac:dyDescent="0.2">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8" t="str">
        <f>DADOS!P29</f>
        <v>PAVIMENTAÇÃO COM CALÇAMENTO COM PEDRAS BASÁLTICAS IRREGULARES LINHA NATAL SUL, INTERIOR (ZONA RURAL) DO MUNICIPIO DE UBIRETAMA/RS</v>
      </c>
      <c r="J8" s="348"/>
      <c r="K8" s="348"/>
      <c r="L8" s="348"/>
      <c r="M8" s="348"/>
      <c r="N8" s="348"/>
      <c r="O8" s="348"/>
      <c r="P8" s="348"/>
      <c r="Q8" s="348"/>
      <c r="R8" s="348"/>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38" t="s">
        <v>34</v>
      </c>
      <c r="J11" s="339"/>
      <c r="K11" s="339"/>
      <c r="L11" s="339"/>
      <c r="M11" s="339"/>
      <c r="N11" s="339"/>
      <c r="O11" s="339"/>
      <c r="P11" s="340"/>
      <c r="Q11" s="341" t="str">
        <f>DADOS!$C$38</f>
        <v>Não</v>
      </c>
      <c r="R11" s="342"/>
    </row>
    <row r="12" spans="1:29" x14ac:dyDescent="0.2">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3" t="s">
        <v>36</v>
      </c>
      <c r="J13" s="353"/>
      <c r="K13" s="353"/>
      <c r="L13" s="353"/>
      <c r="M13" s="353"/>
      <c r="N13" s="353"/>
      <c r="O13" s="353"/>
      <c r="P13" s="353"/>
      <c r="Q13" s="350">
        <v>0.5</v>
      </c>
      <c r="R13" s="350"/>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1" t="s">
        <v>38</v>
      </c>
      <c r="J14" s="351"/>
      <c r="K14" s="351"/>
      <c r="L14" s="351"/>
      <c r="M14" s="351"/>
      <c r="N14" s="351"/>
      <c r="O14" s="351"/>
      <c r="P14" s="351"/>
      <c r="Q14" s="350">
        <v>0.03</v>
      </c>
      <c r="R14" s="350"/>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2" t="s">
        <v>39</v>
      </c>
      <c r="J16" s="352"/>
      <c r="K16" s="352"/>
      <c r="L16" s="352"/>
      <c r="M16" s="352" t="s">
        <v>40</v>
      </c>
      <c r="N16" s="355" t="s">
        <v>41</v>
      </c>
      <c r="O16" s="355" t="s">
        <v>42</v>
      </c>
      <c r="P16" s="354" t="s">
        <v>43</v>
      </c>
      <c r="Q16" s="354" t="s">
        <v>44</v>
      </c>
      <c r="R16" s="332" t="s">
        <v>45</v>
      </c>
      <c r="T16" s="329" t="str">
        <f>IF(V27,"Para BDI fora do intervalo estatístico, deve ser apresentado Relatório Técnico Circunstanciado justificando a adoção do percentual de cada parcela do BDI.","")</f>
        <v/>
      </c>
      <c r="U16" s="329"/>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2"/>
      <c r="J17" s="352"/>
      <c r="K17" s="352"/>
      <c r="L17" s="352"/>
      <c r="M17" s="352"/>
      <c r="N17" s="355"/>
      <c r="O17" s="355"/>
      <c r="P17" s="354"/>
      <c r="Q17" s="354"/>
      <c r="R17" s="332"/>
      <c r="T17" s="329"/>
      <c r="U17" s="329"/>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7" t="str">
        <f>IF($I$11=$A$59,"Encargos Sociais incidentes sobre a mão de obra","Administração Central")</f>
        <v>Administração Central</v>
      </c>
      <c r="J18" s="317"/>
      <c r="K18" s="317"/>
      <c r="L18" s="317"/>
      <c r="M18" s="60" t="str">
        <f>IF($I$11=$A$59,"K1","AC")</f>
        <v>AC</v>
      </c>
      <c r="N18" s="61">
        <v>3.7999999999999999E-2</v>
      </c>
      <c r="O18" s="62" t="s">
        <v>46</v>
      </c>
      <c r="P18" s="63">
        <f>VLOOKUP(CONCATENATE(I$11,"-",M18),$C$2:$G$49,3,FALSE)</f>
        <v>3.7999999999999999E-2</v>
      </c>
      <c r="Q18" s="63">
        <f>VLOOKUP(CONCATENATE(I$11,"-",M18),$C$2:$G$49,4,FALSE)</f>
        <v>4.0099999999999997E-2</v>
      </c>
      <c r="R18" s="63">
        <f>VLOOKUP(CONCATENATE(I$11,"-",M18),$C$2:$G$49,5,FALSE)</f>
        <v>4.6699999999999998E-2</v>
      </c>
      <c r="T18" s="329"/>
      <c r="U18" s="329"/>
      <c r="V18" s="108"/>
      <c r="W18" s="108"/>
      <c r="X18" s="108"/>
      <c r="Y18" s="108"/>
      <c r="Z18" s="108"/>
      <c r="AA18" s="108"/>
      <c r="AB18" s="108"/>
      <c r="AC18" s="108"/>
    </row>
    <row r="19" spans="1:31" ht="26.25" customHeight="1" x14ac:dyDescent="0.2">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7" t="str">
        <f>IF($I$11=$A$59,"Administração Central da empresa ou consultoria - overhead","Seguro e Garantia")</f>
        <v>Seguro e Garantia</v>
      </c>
      <c r="J19" s="317"/>
      <c r="K19" s="317"/>
      <c r="L19" s="317"/>
      <c r="M19" s="60" t="str">
        <f>IF($I$11=$A$59,"K2","SG")</f>
        <v>SG</v>
      </c>
      <c r="N19" s="61">
        <v>3.3349999999999999E-3</v>
      </c>
      <c r="O19" s="62" t="s">
        <v>46</v>
      </c>
      <c r="P19" s="63">
        <f>VLOOKUP(CONCATENATE(I$11,"-",M19),$C$2:$G$49,3,FALSE)</f>
        <v>3.2000000000000002E-3</v>
      </c>
      <c r="Q19" s="63">
        <f>VLOOKUP(CONCATENATE(I$11,"-",M19),$C$2:$G$49,4,FALSE)</f>
        <v>4.0000000000000001E-3</v>
      </c>
      <c r="R19" s="63">
        <f>VLOOKUP(CONCATENATE(I$11,"-",M19),$C$2:$G$49,5,FALSE)</f>
        <v>7.4000000000000003E-3</v>
      </c>
      <c r="T19" s="329"/>
      <c r="U19" s="329"/>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7" t="str">
        <f>IF($I$11=$A$59,"","Risco")</f>
        <v>Risco</v>
      </c>
      <c r="J20" s="317"/>
      <c r="K20" s="317"/>
      <c r="L20" s="317"/>
      <c r="M20" s="60" t="str">
        <f>IF($I$11=$A$59,"","R")</f>
        <v>R</v>
      </c>
      <c r="N20" s="61">
        <v>5.1999999999999998E-3</v>
      </c>
      <c r="O20" s="62" t="s">
        <v>46</v>
      </c>
      <c r="P20" s="63">
        <f>VLOOKUP(CONCATENATE(I$11,"-",M20),$C$2:$G$49,3,FALSE)</f>
        <v>5.0000000000000001E-3</v>
      </c>
      <c r="Q20" s="63">
        <f>VLOOKUP(CONCATENATE(I$11,"-",M20),$C$2:$G$49,4,FALSE)</f>
        <v>5.6000000000000008E-3</v>
      </c>
      <c r="R20" s="63">
        <f>VLOOKUP(CONCATENATE(I$11,"-",M20),$C$2:$G$49,5,FALSE)</f>
        <v>9.7000000000000003E-3</v>
      </c>
      <c r="T20" s="329"/>
      <c r="U20" s="329"/>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7" t="str">
        <f>IF($I$11=$A$59,"","Despesas Financeiras")</f>
        <v>Despesas Financeiras</v>
      </c>
      <c r="J21" s="317"/>
      <c r="K21" s="317"/>
      <c r="L21" s="317"/>
      <c r="M21" s="60" t="str">
        <f>IF($I$11=$A$59,"","DF")</f>
        <v>DF</v>
      </c>
      <c r="N21" s="61">
        <v>1.0200000000000001E-2</v>
      </c>
      <c r="O21" s="62" t="s">
        <v>46</v>
      </c>
      <c r="P21" s="63">
        <f>VLOOKUP(CONCATENATE(I$11,"-",M21),$C$2:$G$49,3,FALSE)</f>
        <v>1.0200000000000001E-2</v>
      </c>
      <c r="Q21" s="63">
        <f>VLOOKUP(CONCATENATE(I$11,"-",M21),$C$2:$G$49,4,FALSE)</f>
        <v>1.11E-2</v>
      </c>
      <c r="R21" s="63">
        <f>VLOOKUP(CONCATENATE(I$11,"-",M21),$C$2:$G$49,5,FALSE)</f>
        <v>1.21E-2</v>
      </c>
      <c r="T21" s="329"/>
      <c r="U21" s="329"/>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7" t="str">
        <f>IF($I$11=$A$59,"Margem bruta da empresa de consultoria","Lucro")</f>
        <v>Lucro</v>
      </c>
      <c r="J22" s="317"/>
      <c r="K22" s="317"/>
      <c r="L22" s="317"/>
      <c r="M22" s="60" t="str">
        <f>IF($I$11=$A$59,"K3","L")</f>
        <v>L</v>
      </c>
      <c r="N22" s="61">
        <v>7.2999999999999995E-2</v>
      </c>
      <c r="O22" s="62" t="s">
        <v>46</v>
      </c>
      <c r="P22" s="63">
        <f>VLOOKUP(CONCATENATE(I$11,"-",M22),$C$2:$G$49,3,FALSE)</f>
        <v>6.6400000000000001E-2</v>
      </c>
      <c r="Q22" s="63">
        <f>VLOOKUP(CONCATENATE(I$11,"-",M22),$C$2:$G$49,4,FALSE)</f>
        <v>7.2999999999999995E-2</v>
      </c>
      <c r="R22" s="63">
        <f>VLOOKUP(CONCATENATE(I$11,"-",M22),$C$2:$G$49,5,FALSE)</f>
        <v>8.6899999999999991E-2</v>
      </c>
      <c r="T22" s="329"/>
      <c r="U22" s="329"/>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1" t="s">
        <v>48</v>
      </c>
      <c r="J23" s="331"/>
      <c r="K23" s="331"/>
      <c r="L23" s="331"/>
      <c r="M23" s="60" t="s">
        <v>49</v>
      </c>
      <c r="N23" s="61">
        <v>3.6499999999999998E-2</v>
      </c>
      <c r="O23" s="62" t="s">
        <v>46</v>
      </c>
      <c r="P23" s="63">
        <v>3.6499999999999998E-2</v>
      </c>
      <c r="Q23" s="63">
        <v>3.6499999999999998E-2</v>
      </c>
      <c r="R23" s="63">
        <v>3.6499999999999998E-2</v>
      </c>
      <c r="T23" s="329"/>
      <c r="U23" s="329"/>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7" t="s">
        <v>50</v>
      </c>
      <c r="J24" s="317"/>
      <c r="K24" s="317"/>
      <c r="L24" s="317"/>
      <c r="M24" s="60" t="s">
        <v>51</v>
      </c>
      <c r="N24" s="63">
        <f>IF($I$11&lt;&gt;$A$58,Q14*Q13,0)</f>
        <v>1.4999999999999999E-2</v>
      </c>
      <c r="O24" s="62" t="s">
        <v>46</v>
      </c>
      <c r="P24" s="63">
        <v>0</v>
      </c>
      <c r="Q24" s="63">
        <v>2.5000000000000001E-2</v>
      </c>
      <c r="R24" s="63">
        <v>0.05</v>
      </c>
      <c r="T24" s="329"/>
      <c r="U24" s="329"/>
    </row>
    <row r="25" spans="1:31" ht="26.25" customHeight="1" x14ac:dyDescent="0.2">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7" t="s">
        <v>116</v>
      </c>
      <c r="J25" s="317"/>
      <c r="K25" s="317"/>
      <c r="L25" s="317"/>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7" t="s">
        <v>53</v>
      </c>
      <c r="J26" s="317"/>
      <c r="K26" s="317"/>
      <c r="L26" s="317"/>
      <c r="M26" s="65" t="s">
        <v>33</v>
      </c>
      <c r="N26" s="63">
        <f>IF($I$11=$A$58,0,ROUND((((1+N18+N19+N20)*(1+N21)*(1+N22)/(1-(N23+N24)))-1),4))</f>
        <v>0.19600000000000001</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18" t="s">
        <v>55</v>
      </c>
      <c r="J27" s="318"/>
      <c r="K27" s="318"/>
      <c r="L27" s="318"/>
      <c r="M27" s="66" t="s">
        <v>56</v>
      </c>
      <c r="N27" s="67">
        <f>IF($I$11=$A$58,0,ROUND((((1+N18+N19+N20)*(1+N21)*(1+N22)/(1-(N23+N24+N25)))-1),4))</f>
        <v>0.19600000000000001</v>
      </c>
      <c r="O27" s="110" t="str">
        <f>IF(Q11&lt;&gt;"Sim","",O26)</f>
        <v/>
      </c>
      <c r="P27" s="319"/>
      <c r="Q27" s="319"/>
      <c r="R27" s="319"/>
      <c r="T27" s="107"/>
      <c r="V27" s="111" t="b">
        <f>AND(COUNTA(N18:N23)=6,O26&lt;&gt;"ok",NOT(V29))</f>
        <v>0</v>
      </c>
      <c r="W27" s="52" t="s">
        <v>118</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6" t="s">
        <v>117</v>
      </c>
      <c r="K29" s="316"/>
      <c r="L29" s="316"/>
      <c r="M29" s="316"/>
      <c r="N29" s="316"/>
      <c r="O29" s="316"/>
      <c r="P29" s="316"/>
      <c r="Q29" s="316"/>
      <c r="R29" s="316"/>
      <c r="V29" s="111" t="b">
        <v>0</v>
      </c>
      <c r="W29" s="52" t="s">
        <v>119</v>
      </c>
    </row>
    <row r="30" spans="1:31" ht="7.5" customHeight="1" x14ac:dyDescent="0.2">
      <c r="B30" s="54"/>
      <c r="E30" s="55"/>
      <c r="F30" s="55"/>
      <c r="G30" s="55"/>
      <c r="V30" s="111"/>
    </row>
    <row r="31" spans="1:31" ht="18.75" customHeight="1" x14ac:dyDescent="0.2">
      <c r="B31" s="54"/>
      <c r="E31" s="55"/>
      <c r="F31" s="55"/>
      <c r="G31" s="55"/>
      <c r="I31" s="321" t="s">
        <v>61</v>
      </c>
      <c r="J31" s="321"/>
      <c r="K31" s="321"/>
      <c r="L31" s="321"/>
      <c r="M31" s="321"/>
      <c r="N31" s="321"/>
      <c r="O31" s="321"/>
      <c r="P31" s="321"/>
      <c r="Q31" s="321"/>
      <c r="R31" s="321"/>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7" t="str">
        <f>IF(Q11="Sim","BDI.DES =","BDI.PAD =")</f>
        <v>BDI.PAD =</v>
      </c>
      <c r="M32" s="335" t="str">
        <f>IF($I$11=$A$59,"(1+K1+K2)*(1+K3)","(1+AC + S + R + G)*(1 + DF)*(1+L)")</f>
        <v>(1+AC + S + R + G)*(1 + DF)*(1+L)</v>
      </c>
      <c r="N32" s="335"/>
      <c r="O32" s="335"/>
      <c r="P32" s="333" t="s">
        <v>108</v>
      </c>
      <c r="Q32" s="100"/>
      <c r="R32" s="100"/>
    </row>
    <row r="33" spans="1:18" ht="27" customHeight="1" x14ac:dyDescent="0.2">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7"/>
      <c r="M33" s="336" t="str">
        <f>IF(Q11="Sim","(1-CP-ISS-CRPB)","(1-CP-ISS)")</f>
        <v>(1-CP-ISS)</v>
      </c>
      <c r="N33" s="336"/>
      <c r="O33" s="336"/>
      <c r="P33" s="334"/>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2"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50%, com a respectiva alíquota de 3%.</v>
      </c>
      <c r="J35" s="322"/>
      <c r="K35" s="322"/>
      <c r="L35" s="322"/>
      <c r="M35" s="322"/>
      <c r="N35" s="322"/>
      <c r="O35" s="322"/>
      <c r="P35" s="322"/>
      <c r="Q35" s="322"/>
      <c r="R35" s="322"/>
    </row>
    <row r="36" spans="1:18" ht="11.25" customHeight="1" x14ac:dyDescent="0.2">
      <c r="B36" s="59"/>
      <c r="E36" s="55"/>
      <c r="F36" s="55"/>
      <c r="G36" s="55"/>
    </row>
    <row r="37" spans="1:18" ht="52.5" customHeight="1" x14ac:dyDescent="0.2">
      <c r="B37" s="59"/>
      <c r="E37" s="55"/>
      <c r="F37" s="55"/>
      <c r="G37" s="55"/>
      <c r="I37" s="322"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2"/>
      <c r="K37" s="322"/>
      <c r="L37" s="322"/>
      <c r="M37" s="322"/>
      <c r="N37" s="322"/>
      <c r="O37" s="322"/>
      <c r="P37" s="322"/>
      <c r="Q37" s="322"/>
      <c r="R37" s="322"/>
    </row>
    <row r="38" spans="1:18" ht="18" customHeight="1" x14ac:dyDescent="0.2">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4"/>
      <c r="J40" s="325"/>
      <c r="K40" s="325"/>
      <c r="L40" s="325"/>
      <c r="M40" s="325"/>
      <c r="N40" s="325"/>
      <c r="O40" s="325"/>
      <c r="P40" s="325"/>
      <c r="Q40" s="325"/>
      <c r="R40" s="326"/>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30" t="str">
        <f>PO!K36</f>
        <v>UBIRETAMA/RS</v>
      </c>
      <c r="J42" s="330"/>
      <c r="K42" s="330"/>
      <c r="L42" s="330"/>
      <c r="O42" s="323">
        <f ca="1">PO!K39</f>
        <v>45374</v>
      </c>
      <c r="P42" s="323"/>
      <c r="Q42" s="323"/>
      <c r="R42" s="323"/>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9" t="s">
        <v>120</v>
      </c>
      <c r="J43" s="349"/>
      <c r="K43" s="349"/>
      <c r="L43" s="349"/>
      <c r="N43" s="68"/>
      <c r="O43" s="144" t="s">
        <v>121</v>
      </c>
      <c r="P43" s="145"/>
      <c r="Q43" s="145"/>
      <c r="R43" s="145"/>
    </row>
    <row r="44" spans="1:18" x14ac:dyDescent="0.2">
      <c r="A44" s="52" t="s">
        <v>59</v>
      </c>
      <c r="B44" s="54" t="s">
        <v>104</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105</v>
      </c>
      <c r="C45" s="52" t="str">
        <f t="shared" si="0"/>
        <v>Estudos e Projetos, Planos e Gerenciamento e outros correlatos-K2</v>
      </c>
      <c r="E45" s="55" t="s">
        <v>46</v>
      </c>
      <c r="F45" s="55">
        <v>0.2</v>
      </c>
      <c r="G45" s="55" t="s">
        <v>46</v>
      </c>
      <c r="I45" s="320"/>
      <c r="J45" s="320"/>
      <c r="K45" s="320"/>
      <c r="L45" s="320"/>
      <c r="M45" s="69"/>
      <c r="N45" s="69"/>
      <c r="O45" s="320"/>
      <c r="P45" s="320"/>
      <c r="Q45" s="320"/>
      <c r="R45" s="320"/>
    </row>
    <row r="46" spans="1:18" x14ac:dyDescent="0.2">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7" t="s">
        <v>57</v>
      </c>
      <c r="J46" s="327"/>
      <c r="K46" s="327"/>
      <c r="L46" s="327"/>
      <c r="M46" s="70"/>
      <c r="N46" s="70"/>
      <c r="O46" s="327" t="s">
        <v>58</v>
      </c>
      <c r="P46" s="327"/>
      <c r="Q46" s="327"/>
      <c r="R46" s="327"/>
    </row>
    <row r="47" spans="1:18" ht="14.25" x14ac:dyDescent="0.2">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5" t="str">
        <f>DADOS!B54</f>
        <v>JASON PALUCHOWSKI</v>
      </c>
      <c r="K47" s="315"/>
      <c r="L47" s="315"/>
      <c r="M47" s="71"/>
      <c r="N47" s="71"/>
      <c r="O47" s="29" t="s">
        <v>140</v>
      </c>
      <c r="P47" s="328" t="s">
        <v>266</v>
      </c>
      <c r="Q47" s="328"/>
      <c r="R47" s="328"/>
    </row>
    <row r="48" spans="1:18" ht="14.25" x14ac:dyDescent="0.2">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5" t="str">
        <f>DADOS!B55</f>
        <v>ENGENHEIRO CIVIL</v>
      </c>
      <c r="K48" s="315"/>
      <c r="L48" s="315"/>
      <c r="M48" s="71"/>
      <c r="N48" s="71"/>
      <c r="O48" s="29" t="s">
        <v>60</v>
      </c>
      <c r="P48" s="328" t="s">
        <v>267</v>
      </c>
      <c r="Q48" s="328"/>
      <c r="R48" s="328"/>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CREA/CAU:</v>
      </c>
      <c r="J49" s="315" t="str">
        <f>DADOS!B56</f>
        <v>RS 245.994</v>
      </c>
      <c r="K49" s="315"/>
      <c r="L49" s="315"/>
      <c r="M49" s="71"/>
      <c r="N49" s="71"/>
      <c r="O49" s="71"/>
      <c r="P49" s="71"/>
      <c r="Q49" s="71"/>
      <c r="R49" s="71"/>
    </row>
    <row r="50" spans="1:18" x14ac:dyDescent="0.2">
      <c r="I50" s="29" t="str">
        <f>DADOS!A57</f>
        <v>ART/RRT:</v>
      </c>
      <c r="J50" s="315" t="str">
        <f>DADOS!B57</f>
        <v>12336519</v>
      </c>
      <c r="K50" s="315"/>
      <c r="L50" s="315"/>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137</v>
      </c>
    </row>
    <row r="58" spans="1:18" hidden="1" x14ac:dyDescent="0.2">
      <c r="A58" s="52" t="s">
        <v>138</v>
      </c>
    </row>
    <row r="59" spans="1:18" hidden="1" x14ac:dyDescent="0.2">
      <c r="A59" s="52" t="s">
        <v>59</v>
      </c>
    </row>
    <row r="60" spans="1:18" ht="14.25" hidden="1" x14ac:dyDescent="0.2">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122" priority="6" stopIfTrue="1">
      <formula>$O$42=""</formula>
    </cfRule>
  </conditionalFormatting>
  <conditionalFormatting sqref="O18:O27">
    <cfRule type="expression" dxfId="121" priority="11" stopIfTrue="1">
      <formula>AND(O18&lt;&gt;"OK",O18&lt;&gt;"-",O18&lt;&gt;"")</formula>
    </cfRule>
    <cfRule type="cellIs" dxfId="120" priority="12" stopIfTrue="1" operator="equal">
      <formula>"OK"</formula>
    </cfRule>
  </conditionalFormatting>
  <conditionalFormatting sqref="I26:N26">
    <cfRule type="expression" dxfId="119" priority="10" stopIfTrue="1">
      <formula>$Q$11="Não"</formula>
    </cfRule>
  </conditionalFormatting>
  <conditionalFormatting sqref="I27:N27">
    <cfRule type="expression" dxfId="118" priority="9" stopIfTrue="1">
      <formula>$Q$11="sim"</formula>
    </cfRule>
  </conditionalFormatting>
  <conditionalFormatting sqref="P27:R27">
    <cfRule type="expression" dxfId="117" priority="8" stopIfTrue="1">
      <formula>$Q$11="sim"</formula>
    </cfRule>
  </conditionalFormatting>
  <conditionalFormatting sqref="P47:R48">
    <cfRule type="expression" dxfId="116" priority="7" stopIfTrue="1">
      <formula>P47=""</formula>
    </cfRule>
  </conditionalFormatting>
  <conditionalFormatting sqref="I29:R29">
    <cfRule type="expression" dxfId="115" priority="3" stopIfTrue="1">
      <formula>AND(NOT($V$27),NOT($V$29))</formula>
    </cfRule>
  </conditionalFormatting>
  <conditionalFormatting sqref="P18:R26">
    <cfRule type="expression" dxfId="114"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40"/>
  <sheetViews>
    <sheetView showGridLines="0" tabSelected="1" topLeftCell="J1" zoomScale="80" zoomScaleNormal="80" zoomScaleSheetLayoutView="100" workbookViewId="0">
      <pane ySplit="12" topLeftCell="A13" activePane="bottomLeft" state="frozen"/>
      <selection pane="bottomLeft" activeCell="P16" sqref="P16"/>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4"/>
      <c r="P2" s="4"/>
      <c r="Q2" s="4"/>
      <c r="R2" s="4"/>
      <c r="S2" s="4"/>
      <c r="T2" s="78" t="s">
        <v>166</v>
      </c>
      <c r="U2" s="4"/>
      <c r="V2" s="4"/>
      <c r="W2" s="356" t="s">
        <v>181</v>
      </c>
      <c r="X2" s="356"/>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5" customHeight="1" x14ac:dyDescent="0.2">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5" customHeight="1" x14ac:dyDescent="0.2">
      <c r="A5" s="9">
        <f>MAX($A$12:$A$25)</f>
        <v>1</v>
      </c>
      <c r="B5" s="4"/>
      <c r="D5" s="117"/>
      <c r="F5" s="5"/>
      <c r="G5" s="4"/>
      <c r="H5" s="4"/>
      <c r="I5" s="4"/>
      <c r="J5" s="4"/>
      <c r="K5" s="4"/>
      <c r="L5" s="4"/>
      <c r="M5" s="4"/>
      <c r="N5" s="4"/>
      <c r="O5" s="4"/>
      <c r="P5" s="4"/>
      <c r="Q5" s="4"/>
      <c r="R5" s="4"/>
      <c r="S5" s="4"/>
      <c r="T5" s="4"/>
      <c r="U5" s="119" t="str">
        <f ca="1">IF(COUNTIF($U$12:OFFSET($U$25,-1,0),"DESCRIÇÃO")+COUNTIF($U$12:OFFSET($U$25,-1,0),"UNIDADE")+COUNTIF($U$12:OFFSET($U$25,-1,0),"SEM VALOR")&gt;0,"NÃO OK","OK")</f>
        <v>OK</v>
      </c>
      <c r="V5" s="212" t="s">
        <v>106</v>
      </c>
      <c r="W5" s="211" t="s">
        <v>183</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184</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Custo Unitário (R$)</v>
      </c>
      <c r="R10" s="74" t="s">
        <v>5</v>
      </c>
      <c r="S10" s="74" t="s">
        <v>151</v>
      </c>
      <c r="T10" s="74" t="s">
        <v>6</v>
      </c>
      <c r="U10" s="74" t="s">
        <v>159</v>
      </c>
      <c r="V10" s="116" t="s">
        <v>161</v>
      </c>
      <c r="W10" s="116" t="s">
        <v>122</v>
      </c>
      <c r="X10" s="116" t="s">
        <v>130</v>
      </c>
      <c r="Y10" s="115" t="str">
        <f>IF(TipoOrçamento="LICITADO","Preço Unitário Edital (R$)","Custo Unitário Referência (R$)")</f>
        <v>Custo Unitário Referência (R$)</v>
      </c>
      <c r="Z10" s="147" t="str">
        <f>IF(TipoOrçamento="LICITADO","Valor BDI Edital","Valor BDI")</f>
        <v>Valor BDI</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IF(OR($A11="S",$A11=0),0,MATCH(0,OFFSET($B11,1,$A11,ROW($A$25)-ROW($A11)),0))</f>
        <v>0</v>
      </c>
      <c r="I11">
        <f ca="1">IF(OR($A11="S",$A11=0),0,MATCH(OFFSET($B11,0,$A11)+1,OFFSET($B11,1,$A11,ROW($A$25)-ROW($A11)),0))</f>
        <v>0</v>
      </c>
      <c r="J11" s="120" t="s">
        <v>103</v>
      </c>
      <c r="K11" s="162" t="e">
        <f ca="1">IF($A11=0,"-",CONCATENATE(C11&amp;".",IF(AND($A$5&gt;=2,$A11&gt;=2),D11&amp;".",""),IF(AND($A$5&gt;=3,$A11&gt;=3),E11&amp;".",""),IF(AND($A$5&gt;=4,$A11&gt;=4),F11&amp;".",""),IF($A11="S",G11&amp;".","")))</f>
        <v>#VALUE!</v>
      </c>
      <c r="L11" s="209"/>
      <c r="M11" s="209"/>
      <c r="N11" s="231" t="str">
        <f ca="1">IF($A11="S",Referencia.Descricao,"(digite a descrição aqui)")</f>
        <v/>
      </c>
      <c r="O11" s="230" t="str">
        <f ca="1">Referencia.Unidade</f>
        <v/>
      </c>
      <c r="P11" s="225">
        <f ca="1">OFFSET(PLQ!$E$12,ROW($P11)-ROW(P$12),0)</f>
        <v>0</v>
      </c>
      <c r="Q11" s="229"/>
      <c r="R11" s="232" t="s">
        <v>7</v>
      </c>
      <c r="S11" s="121">
        <f ca="1">IF($A11="S",IF($Q$10="Preço Unitário (R$)",PO.CustoUnitario,ROUND(PO.CustoUnitario*(1+$Z11),15-13*$X$6)),0)</f>
        <v>0</v>
      </c>
      <c r="T11" s="98">
        <f ca="1">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0.19600000000000001</v>
      </c>
      <c r="AA11" s="4"/>
    </row>
    <row r="12" spans="1:27" ht="25.5" x14ac:dyDescent="0.2">
      <c r="A12">
        <v>0</v>
      </c>
      <c r="B12">
        <f ca="1">COUNTA(OFFSET(B12,1,0):B$25)</f>
        <v>12</v>
      </c>
      <c r="J12" s="76" t="str">
        <f>IF(OR(TipoOrçamento="LICITADO",TipoOrçamento="REPROGRAMADOAC"),"CTEF","LOTE")</f>
        <v>LOTE</v>
      </c>
      <c r="K12" s="163">
        <v>0</v>
      </c>
      <c r="L12" s="10"/>
      <c r="M12" s="10"/>
      <c r="N12" s="87" t="str">
        <f>IF(TipoOrçamento="LICITADO",DADOS!O43,DADOS!G38)</f>
        <v>PAVIMENTAÇÃO COM CALÇAMENTO COM PEDRAS BASÁLTICAS IRREGULARES LINHA NATAL SUL, INTERIOR (ZONA RURAL)</v>
      </c>
      <c r="O12" s="10"/>
      <c r="P12" s="11"/>
      <c r="Q12" s="11"/>
      <c r="R12" s="12"/>
      <c r="S12" s="11"/>
      <c r="T12" s="97">
        <f ca="1">SUMIF(OFFSET($J12,1,0,ROW(T25)-ROW(T12)-1),"Serviço",OFFSET(T12,1,0,ROW(T25)-ROW(T12)-1))</f>
        <v>403034.63</v>
      </c>
      <c r="U12" s="13" t="str">
        <f>IF($N12=0,"DESCRIÇÃO","")</f>
        <v/>
      </c>
      <c r="V12" s="4">
        <v>0</v>
      </c>
      <c r="W12" s="4"/>
      <c r="X12" s="4"/>
      <c r="Y12" s="11"/>
      <c r="Z12" s="133"/>
      <c r="AA12" s="4"/>
    </row>
    <row r="13" spans="1:27" x14ac:dyDescent="0.2">
      <c r="A13">
        <f t="shared" ref="A13:A24" si="0">CHOOSE(1+LOG(1+2*(J13="Meta")+4*(J13="Nível 2")+8*(J13="Nível 3")+16*(J13="Nível 4")+32*(J13="Serviço"),2),0,1,2,3,4,"S")</f>
        <v>1</v>
      </c>
      <c r="B13">
        <f t="shared" ref="B13:B24" ca="1" si="1">IF(OR(A13="S",A13=0),0,IF(ISERROR(I13),H13,SMALL(H13:I13,1)))</f>
        <v>4</v>
      </c>
      <c r="C13">
        <f t="shared" ref="C13:C24" ca="1" si="2">IF($A13=1,OFFSET(C13,-1,0)+1,OFFSET(C13,-1,0))</f>
        <v>1</v>
      </c>
      <c r="D13">
        <f t="shared" ref="D13:D24" ca="1" si="3">IF($A13=1,0,IF($A13=2,OFFSET(D13,-1,0)+1,OFFSET(D13,-1,0)))</f>
        <v>0</v>
      </c>
      <c r="E13">
        <f t="shared" ref="E13:E24" ca="1" si="4">IF(AND($A13&lt;=2,$A13&lt;&gt;0),0,IF($A13=3,OFFSET(E13,-1,0)+1,OFFSET(E13,-1,0)))</f>
        <v>0</v>
      </c>
      <c r="F13">
        <f t="shared" ref="F13:F24" ca="1" si="5">IF(AND($A13&lt;=3,$A13&lt;&gt;0),0,IF($A13=4,OFFSET(F13,-1,0)+1,OFFSET(F13,-1,0)))</f>
        <v>0</v>
      </c>
      <c r="G13">
        <f t="shared" ref="G13:G24" ca="1" si="6">IF(AND($A13&lt;=4,$A13&lt;&gt;0),0,IF($A13="S",OFFSET(G13,-1,0)+1,OFFSET(G13,-1,0)))</f>
        <v>0</v>
      </c>
      <c r="H13">
        <f t="shared" ref="H13:H24" ca="1" si="7">IF(OR($A13="S",$A13=0),0,MATCH(0,OFFSET($B13,1,$A13,ROW($A$25)-ROW($A13)),0))</f>
        <v>12</v>
      </c>
      <c r="I13">
        <f t="shared" ref="I13:I24" ca="1" si="8">IF(OR($A13="S",$A13=0),0,MATCH(OFFSET($B13,0,$A13)+1,OFFSET($B13,1,$A13,ROW($A$25)-ROW($A13)),0))</f>
        <v>4</v>
      </c>
      <c r="J13" s="164" t="s">
        <v>99</v>
      </c>
      <c r="K13" s="162" t="str">
        <f t="shared" ref="K13:K24" ca="1" si="9">IF($A13=0,"-",CONCATENATE(C13&amp;".",IF(AND($A$5&gt;=2,$A13&gt;=2),D13&amp;".",""),IF(AND($A$5&gt;=3,$A13&gt;=3),E13&amp;".",""),IF(AND($A$5&gt;=4,$A13&gt;=4),F13&amp;".",""),IF($A13="S",G13&amp;".","")))</f>
        <v>1.</v>
      </c>
      <c r="L13" s="209"/>
      <c r="M13" s="209"/>
      <c r="N13" s="231" t="s">
        <v>245</v>
      </c>
      <c r="O13" s="230" t="s">
        <v>106</v>
      </c>
      <c r="P13" s="225">
        <f ca="1">OFFSET(PLQ!$E$12,ROW($P13)-ROW(P$12),0)</f>
        <v>0</v>
      </c>
      <c r="Q13" s="229"/>
      <c r="R13" s="232" t="s">
        <v>7</v>
      </c>
      <c r="S13" s="121">
        <f t="shared" ref="S13:S24" si="10">IF($A13="S",IF($Q$10="Preço Unitário (R$)",PO.CustoUnitario,ROUND(PO.CustoUnitario*(1+$Z13),15-13*$X$6)),0)</f>
        <v>0</v>
      </c>
      <c r="T13" s="98">
        <f t="shared" ref="T13:T24" ca="1" si="11">IF($A13="S",VTOTAL1,IF($A13=0,0,ROUND(SomaAgrup,15-13*$X$7)))</f>
        <v>26313.06</v>
      </c>
      <c r="U13" s="13" t="str">
        <f t="shared" ref="U13:U24" ca="1" si="12">IF($J13="","",IF($N13="","DESCRIÇÃO",IF(AND($J13="Serviço",$O13=""),"UNIDADE",IF($T13&lt;=0,"SEM VALOR",IF(AND($Y13&lt;&gt;"",$Q13&gt;$Y13),"ACIMA REF.","")))))</f>
        <v/>
      </c>
      <c r="V13" s="4">
        <f ca="1">IF(OR($A13=0,$A13="S",$A13&gt;CFF!$A$9),"",MAX(V$12:OFFSET(V13,-1,0))+1)</f>
        <v>1</v>
      </c>
      <c r="W13" s="9" t="b">
        <f t="shared" ref="W13:W24" si="13">IF(AND($J13="Serviço",$M13&lt;&gt;""),IF($L13="",$M13,CONCATENATE($L13,"-",$M13)))</f>
        <v>0</v>
      </c>
      <c r="X13" s="4" t="str">
        <f t="shared" ref="X13:X24" ca="1" si="14">IF(AND(Fonte&lt;&gt;"",Código&lt;&gt;""),MATCH(Fonte&amp;" "&amp;IF(Fonte="sinapi",SUBSTITUTE(SUBSTITUTE(Código,"/00","/"),"/0","/"),Código),INDIRECT("'[Referência "&amp;_xlnm.Database&amp;".xls]Banco'!$a:$a"),0),"X")</f>
        <v>X</v>
      </c>
      <c r="Y13" s="121">
        <f t="shared" ref="Y13:Y24" ca="1" si="15">IF(Import.Desoneracao="sim",Referencia.Desonerado,Referencia.NaoDesonerado)</f>
        <v>0</v>
      </c>
      <c r="Z13" s="132">
        <f ca="1">ROUND(IF(ISNUMBER(R13),R13,IF(LEFT(R13,3)="BDI",HLOOKUP(R13,DADOS!$T$37:$X$38,2,FALSE),0)),15-11*$X$5)</f>
        <v>0.19600000000000001</v>
      </c>
      <c r="AA13" s="4"/>
    </row>
    <row r="14" spans="1:27" x14ac:dyDescent="0.2">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120" t="s">
        <v>103</v>
      </c>
      <c r="K14" s="162" t="str">
        <f t="shared" ca="1" si="9"/>
        <v>1.1.</v>
      </c>
      <c r="L14" s="209" t="s">
        <v>236</v>
      </c>
      <c r="M14" s="209" t="s">
        <v>238</v>
      </c>
      <c r="N14" s="231" t="s">
        <v>246</v>
      </c>
      <c r="O14" s="230" t="s">
        <v>256</v>
      </c>
      <c r="P14" s="225">
        <f ca="1">OFFSET(PLQ!$E$12,ROW($P14)-ROW(P$12),0)</f>
        <v>1240</v>
      </c>
      <c r="Q14" s="229">
        <f ca="1">Y14</f>
        <v>0.63</v>
      </c>
      <c r="R14" s="232" t="s">
        <v>7</v>
      </c>
      <c r="S14" s="121">
        <f t="shared" ca="1" si="10"/>
        <v>0.75</v>
      </c>
      <c r="T14" s="98">
        <f t="shared" ca="1" si="11"/>
        <v>930</v>
      </c>
      <c r="U14" s="13" t="str">
        <f t="shared" ca="1" si="12"/>
        <v/>
      </c>
      <c r="V14" s="4" t="str">
        <f ca="1">IF(OR($A14=0,$A14="S",$A14&gt;CFF!$A$9),"",MAX(V$12:OFFSET(V14,-1,0))+1)</f>
        <v/>
      </c>
      <c r="W14" s="9" t="str">
        <f t="shared" si="13"/>
        <v>SINAPI-99064</v>
      </c>
      <c r="X14" s="4">
        <f t="shared" ca="1" si="14"/>
        <v>6966</v>
      </c>
      <c r="Y14" s="121">
        <f t="shared" ca="1" si="15"/>
        <v>0.63</v>
      </c>
      <c r="Z14" s="132">
        <f ca="1">ROUND(IF(ISNUMBER(R14),R14,IF(LEFT(R14,3)="BDI",HLOOKUP(R14,DADOS!$T$37:$X$38,2,FALSE),0)),15-11*$X$5)</f>
        <v>0.19600000000000001</v>
      </c>
      <c r="AA14" s="4"/>
    </row>
    <row r="15" spans="1:27" ht="51" x14ac:dyDescent="0.2">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120" t="s">
        <v>103</v>
      </c>
      <c r="K15" s="162" t="str">
        <f t="shared" ca="1" si="9"/>
        <v>1.2.</v>
      </c>
      <c r="L15" s="209" t="s">
        <v>237</v>
      </c>
      <c r="M15" s="209" t="s">
        <v>239</v>
      </c>
      <c r="N15" s="231" t="s">
        <v>247</v>
      </c>
      <c r="O15" s="230" t="s">
        <v>257</v>
      </c>
      <c r="P15" s="225">
        <f ca="1">OFFSET(PLQ!$E$12,ROW($P15)-ROW(P$12),0)</f>
        <v>1</v>
      </c>
      <c r="Q15" s="229">
        <f t="shared" ref="Q15:Q24" ca="1" si="16">Y15</f>
        <v>1254.7299999999998</v>
      </c>
      <c r="R15" s="232" t="s">
        <v>7</v>
      </c>
      <c r="S15" s="121">
        <f t="shared" ca="1" si="10"/>
        <v>1500.66</v>
      </c>
      <c r="T15" s="98">
        <f t="shared" ca="1" si="11"/>
        <v>1500.66</v>
      </c>
      <c r="U15" s="13" t="str">
        <f t="shared" ca="1" si="12"/>
        <v/>
      </c>
      <c r="V15" s="4" t="str">
        <f ca="1">IF(OR($A15=0,$A15="S",$A15&gt;CFF!$A$9),"",MAX(V$12:OFFSET(V15,-1,0))+1)</f>
        <v/>
      </c>
      <c r="W15" s="9" t="str">
        <f t="shared" si="13"/>
        <v>COMPOSIÇÃO-003</v>
      </c>
      <c r="X15" s="4">
        <f t="shared" ca="1" si="14"/>
        <v>9</v>
      </c>
      <c r="Y15" s="121">
        <f t="shared" ca="1" si="15"/>
        <v>1254.7299999999998</v>
      </c>
      <c r="Z15" s="132">
        <f ca="1">ROUND(IF(ISNUMBER(R15),R15,IF(LEFT(R15,3)="BDI",HLOOKUP(R15,DADOS!$T$37:$X$38,2,FALSE),0)),15-11*$X$5)</f>
        <v>0.19600000000000001</v>
      </c>
      <c r="AA15" s="4"/>
    </row>
    <row r="16" spans="1:27" ht="25.5" x14ac:dyDescent="0.2">
      <c r="A16" t="str">
        <f t="shared" si="0"/>
        <v>S</v>
      </c>
      <c r="B16">
        <f t="shared" si="1"/>
        <v>0</v>
      </c>
      <c r="C16">
        <f t="shared" ca="1" si="2"/>
        <v>1</v>
      </c>
      <c r="D16">
        <f t="shared" ca="1" si="3"/>
        <v>0</v>
      </c>
      <c r="E16">
        <f t="shared" ca="1" si="4"/>
        <v>0</v>
      </c>
      <c r="F16">
        <f t="shared" ca="1" si="5"/>
        <v>0</v>
      </c>
      <c r="G16">
        <f t="shared" ca="1" si="6"/>
        <v>3</v>
      </c>
      <c r="H16">
        <f t="shared" ca="1" si="7"/>
        <v>0</v>
      </c>
      <c r="I16">
        <f t="shared" ca="1" si="8"/>
        <v>0</v>
      </c>
      <c r="J16" s="120" t="s">
        <v>103</v>
      </c>
      <c r="K16" s="162" t="str">
        <f t="shared" ca="1" si="9"/>
        <v>1.3.</v>
      </c>
      <c r="L16" s="209" t="s">
        <v>236</v>
      </c>
      <c r="M16" s="209" t="s">
        <v>240</v>
      </c>
      <c r="N16" s="231" t="s">
        <v>248</v>
      </c>
      <c r="O16" s="230" t="s">
        <v>258</v>
      </c>
      <c r="P16" s="225">
        <f ca="1">OFFSET(PLQ!$E$12,ROW($P16)-ROW(P$12),0)</f>
        <v>7440</v>
      </c>
      <c r="Q16" s="229">
        <f t="shared" ca="1" si="16"/>
        <v>2.68</v>
      </c>
      <c r="R16" s="232" t="s">
        <v>7</v>
      </c>
      <c r="S16" s="121">
        <f t="shared" ca="1" si="10"/>
        <v>3.21</v>
      </c>
      <c r="T16" s="98">
        <f t="shared" ca="1" si="11"/>
        <v>23882.400000000001</v>
      </c>
      <c r="U16" s="13" t="str">
        <f t="shared" ca="1" si="12"/>
        <v/>
      </c>
      <c r="V16" s="4" t="str">
        <f ca="1">IF(OR($A16=0,$A16="S",$A16&gt;CFF!$A$9),"",MAX(V$12:OFFSET(V16,-1,0))+1)</f>
        <v/>
      </c>
      <c r="W16" s="9" t="str">
        <f t="shared" si="13"/>
        <v>SINAPI-100576</v>
      </c>
      <c r="X16" s="4">
        <f t="shared" ca="1" si="14"/>
        <v>5954</v>
      </c>
      <c r="Y16" s="121">
        <f t="shared" ca="1" si="15"/>
        <v>2.68</v>
      </c>
      <c r="Z16" s="132">
        <f ca="1">ROUND(IF(ISNUMBER(R16),R16,IF(LEFT(R16,3)="BDI",HLOOKUP(R16,DADOS!$T$37:$X$38,2,FALSE),0)),15-11*$X$5)</f>
        <v>0.19600000000000001</v>
      </c>
      <c r="AA16" s="4"/>
    </row>
    <row r="17" spans="1:27" x14ac:dyDescent="0.2">
      <c r="A17">
        <f t="shared" si="0"/>
        <v>1</v>
      </c>
      <c r="B17">
        <f t="shared" ca="1" si="1"/>
        <v>2</v>
      </c>
      <c r="C17">
        <f t="shared" ca="1" si="2"/>
        <v>2</v>
      </c>
      <c r="D17">
        <f t="shared" ca="1" si="3"/>
        <v>0</v>
      </c>
      <c r="E17">
        <f t="shared" ca="1" si="4"/>
        <v>0</v>
      </c>
      <c r="F17">
        <f t="shared" ca="1" si="5"/>
        <v>0</v>
      </c>
      <c r="G17">
        <f t="shared" ca="1" si="6"/>
        <v>0</v>
      </c>
      <c r="H17">
        <f t="shared" ca="1" si="7"/>
        <v>8</v>
      </c>
      <c r="I17">
        <f t="shared" ca="1" si="8"/>
        <v>2</v>
      </c>
      <c r="J17" s="120" t="s">
        <v>99</v>
      </c>
      <c r="K17" s="162" t="str">
        <f t="shared" ca="1" si="9"/>
        <v>2.</v>
      </c>
      <c r="L17" s="209"/>
      <c r="M17" s="209"/>
      <c r="N17" s="231" t="s">
        <v>249</v>
      </c>
      <c r="O17" s="230" t="s">
        <v>106</v>
      </c>
      <c r="P17" s="225">
        <f ca="1">OFFSET(PLQ!$E$12,ROW($P17)-ROW(P$12),0)</f>
        <v>0</v>
      </c>
      <c r="Q17" s="229">
        <f t="shared" ca="1" si="16"/>
        <v>0</v>
      </c>
      <c r="R17" s="232" t="s">
        <v>7</v>
      </c>
      <c r="S17" s="121">
        <f t="shared" si="10"/>
        <v>0</v>
      </c>
      <c r="T17" s="98">
        <f t="shared" ca="1" si="11"/>
        <v>274164</v>
      </c>
      <c r="U17" s="13" t="str">
        <f t="shared" ca="1" si="12"/>
        <v/>
      </c>
      <c r="V17" s="4">
        <f ca="1">IF(OR($A17=0,$A17="S",$A17&gt;CFF!$A$9),"",MAX(V$12:OFFSET(V17,-1,0))+1)</f>
        <v>2</v>
      </c>
      <c r="W17" s="9" t="b">
        <f t="shared" si="13"/>
        <v>0</v>
      </c>
      <c r="X17" s="4" t="str">
        <f t="shared" ca="1" si="14"/>
        <v>X</v>
      </c>
      <c r="Y17" s="121">
        <f t="shared" ca="1" si="15"/>
        <v>0</v>
      </c>
      <c r="Z17" s="132">
        <f ca="1">ROUND(IF(ISNUMBER(R17),R17,IF(LEFT(R17,3)="BDI",HLOOKUP(R17,DADOS!$T$37:$X$38,2,FALSE),0)),15-11*$X$5)</f>
        <v>0.19600000000000001</v>
      </c>
      <c r="AA17" s="4"/>
    </row>
    <row r="18" spans="1:27" ht="25.5" x14ac:dyDescent="0.2">
      <c r="A18" t="str">
        <f t="shared" si="0"/>
        <v>S</v>
      </c>
      <c r="B18">
        <f t="shared" si="1"/>
        <v>0</v>
      </c>
      <c r="C18">
        <f t="shared" ca="1" si="2"/>
        <v>2</v>
      </c>
      <c r="D18">
        <f t="shared" ca="1" si="3"/>
        <v>0</v>
      </c>
      <c r="E18">
        <f t="shared" ca="1" si="4"/>
        <v>0</v>
      </c>
      <c r="F18">
        <f t="shared" ca="1" si="5"/>
        <v>0</v>
      </c>
      <c r="G18">
        <f t="shared" ca="1" si="6"/>
        <v>1</v>
      </c>
      <c r="H18">
        <f t="shared" ca="1" si="7"/>
        <v>0</v>
      </c>
      <c r="I18">
        <f t="shared" ca="1" si="8"/>
        <v>0</v>
      </c>
      <c r="J18" s="120" t="s">
        <v>103</v>
      </c>
      <c r="K18" s="162" t="str">
        <f t="shared" ca="1" si="9"/>
        <v>2.1.</v>
      </c>
      <c r="L18" s="209" t="s">
        <v>237</v>
      </c>
      <c r="M18" s="209" t="s">
        <v>241</v>
      </c>
      <c r="N18" s="231" t="s">
        <v>250</v>
      </c>
      <c r="O18" s="230" t="s">
        <v>258</v>
      </c>
      <c r="P18" s="225">
        <f ca="1">OFFSET(PLQ!$E$12,ROW($P18)-ROW(P$12),0)</f>
        <v>7440</v>
      </c>
      <c r="Q18" s="229">
        <f t="shared" ca="1" si="16"/>
        <v>30.810000000000002</v>
      </c>
      <c r="R18" s="232" t="s">
        <v>7</v>
      </c>
      <c r="S18" s="121">
        <f t="shared" ca="1" si="10"/>
        <v>36.85</v>
      </c>
      <c r="T18" s="98">
        <f t="shared" ca="1" si="11"/>
        <v>274164</v>
      </c>
      <c r="U18" s="13" t="str">
        <f t="shared" ca="1" si="12"/>
        <v/>
      </c>
      <c r="V18" s="4" t="str">
        <f ca="1">IF(OR($A18=0,$A18="S",$A18&gt;CFF!$A$9),"",MAX(V$12:OFFSET(V18,-1,0))+1)</f>
        <v/>
      </c>
      <c r="W18" s="9" t="str">
        <f t="shared" si="13"/>
        <v>COMPOSIÇÃO-001</v>
      </c>
      <c r="X18" s="4">
        <f t="shared" ca="1" si="14"/>
        <v>7</v>
      </c>
      <c r="Y18" s="121">
        <f t="shared" ca="1" si="15"/>
        <v>30.810000000000002</v>
      </c>
      <c r="Z18" s="132">
        <f ca="1">ROUND(IF(ISNUMBER(R18),R18,IF(LEFT(R18,3)="BDI",HLOOKUP(R18,DADOS!$T$37:$X$38,2,FALSE),0)),15-11*$X$5)</f>
        <v>0.19600000000000001</v>
      </c>
      <c r="AA18" s="4"/>
    </row>
    <row r="19" spans="1:27" x14ac:dyDescent="0.2">
      <c r="A19">
        <f t="shared" si="0"/>
        <v>1</v>
      </c>
      <c r="B19">
        <f t="shared" ca="1" si="1"/>
        <v>2</v>
      </c>
      <c r="C19">
        <f t="shared" ca="1" si="2"/>
        <v>3</v>
      </c>
      <c r="D19">
        <f t="shared" ca="1" si="3"/>
        <v>0</v>
      </c>
      <c r="E19">
        <f t="shared" ca="1" si="4"/>
        <v>0</v>
      </c>
      <c r="F19">
        <f t="shared" ca="1" si="5"/>
        <v>0</v>
      </c>
      <c r="G19">
        <f t="shared" ca="1" si="6"/>
        <v>0</v>
      </c>
      <c r="H19">
        <f t="shared" ca="1" si="7"/>
        <v>6</v>
      </c>
      <c r="I19">
        <f t="shared" ca="1" si="8"/>
        <v>2</v>
      </c>
      <c r="J19" s="120" t="s">
        <v>99</v>
      </c>
      <c r="K19" s="162" t="str">
        <f t="shared" ca="1" si="9"/>
        <v>3.</v>
      </c>
      <c r="L19" s="209"/>
      <c r="M19" s="209"/>
      <c r="N19" s="231" t="s">
        <v>251</v>
      </c>
      <c r="O19" s="230" t="s">
        <v>106</v>
      </c>
      <c r="P19" s="225">
        <f ca="1">OFFSET(PLQ!$E$12,ROW($P19)-ROW(P$12),0)</f>
        <v>0</v>
      </c>
      <c r="Q19" s="229">
        <f t="shared" ca="1" si="16"/>
        <v>0</v>
      </c>
      <c r="R19" s="232" t="s">
        <v>7</v>
      </c>
      <c r="S19" s="121">
        <f t="shared" si="10"/>
        <v>0</v>
      </c>
      <c r="T19" s="98">
        <f t="shared" ca="1" si="11"/>
        <v>101853.6</v>
      </c>
      <c r="U19" s="13" t="str">
        <f t="shared" ca="1" si="12"/>
        <v/>
      </c>
      <c r="V19" s="4">
        <f ca="1">IF(OR($A19=0,$A19="S",$A19&gt;CFF!$A$9),"",MAX(V$12:OFFSET(V19,-1,0))+1)</f>
        <v>3</v>
      </c>
      <c r="W19" s="9" t="b">
        <f t="shared" si="13"/>
        <v>0</v>
      </c>
      <c r="X19" s="4" t="str">
        <f t="shared" ca="1" si="14"/>
        <v>X</v>
      </c>
      <c r="Y19" s="121">
        <f t="shared" ca="1" si="15"/>
        <v>0</v>
      </c>
      <c r="Z19" s="132">
        <f ca="1">ROUND(IF(ISNUMBER(R19),R19,IF(LEFT(R19,3)="BDI",HLOOKUP(R19,DADOS!$T$37:$X$38,2,FALSE),0)),15-11*$X$5)</f>
        <v>0.19600000000000001</v>
      </c>
      <c r="AA19" s="4"/>
    </row>
    <row r="20" spans="1:27" ht="38.25" x14ac:dyDescent="0.2">
      <c r="A20" t="str">
        <f t="shared" si="0"/>
        <v>S</v>
      </c>
      <c r="B20">
        <f t="shared" si="1"/>
        <v>0</v>
      </c>
      <c r="C20">
        <f t="shared" ca="1" si="2"/>
        <v>3</v>
      </c>
      <c r="D20">
        <f t="shared" ca="1" si="3"/>
        <v>0</v>
      </c>
      <c r="E20">
        <f t="shared" ca="1" si="4"/>
        <v>0</v>
      </c>
      <c r="F20">
        <f t="shared" ca="1" si="5"/>
        <v>0</v>
      </c>
      <c r="G20">
        <f t="shared" ca="1" si="6"/>
        <v>1</v>
      </c>
      <c r="H20">
        <f t="shared" ca="1" si="7"/>
        <v>0</v>
      </c>
      <c r="I20">
        <f t="shared" ca="1" si="8"/>
        <v>0</v>
      </c>
      <c r="J20" s="120" t="s">
        <v>103</v>
      </c>
      <c r="K20" s="162" t="str">
        <f t="shared" ca="1" si="9"/>
        <v>3.1.</v>
      </c>
      <c r="L20" s="209" t="s">
        <v>237</v>
      </c>
      <c r="M20" s="209" t="s">
        <v>268</v>
      </c>
      <c r="N20" s="231" t="s">
        <v>269</v>
      </c>
      <c r="O20" s="230" t="s">
        <v>256</v>
      </c>
      <c r="P20" s="225">
        <f ca="1">OFFSET(PLQ!$E$12,ROW($P20)-ROW(P$12),0)</f>
        <v>2480</v>
      </c>
      <c r="Q20" s="229">
        <f t="shared" ca="1" si="16"/>
        <v>34.340000000000003</v>
      </c>
      <c r="R20" s="232" t="s">
        <v>7</v>
      </c>
      <c r="S20" s="121">
        <f t="shared" ca="1" si="10"/>
        <v>41.07</v>
      </c>
      <c r="T20" s="98">
        <f t="shared" ca="1" si="11"/>
        <v>101853.6</v>
      </c>
      <c r="U20" s="13" t="str">
        <f t="shared" ca="1" si="12"/>
        <v/>
      </c>
      <c r="V20" s="4" t="str">
        <f ca="1">IF(OR($A20=0,$A20="S",$A20&gt;CFF!$A$9),"",MAX(V$12:OFFSET(V20,-1,0))+1)</f>
        <v/>
      </c>
      <c r="W20" s="9" t="str">
        <f t="shared" si="13"/>
        <v>COMPOSIÇÃO-007</v>
      </c>
      <c r="X20" s="4">
        <f t="shared" ca="1" si="14"/>
        <v>13</v>
      </c>
      <c r="Y20" s="121">
        <f t="shared" ca="1" si="15"/>
        <v>34.340000000000003</v>
      </c>
      <c r="Z20" s="132">
        <f ca="1">ROUND(IF(ISNUMBER(R20),R20,IF(LEFT(R20,3)="BDI",HLOOKUP(R20,DADOS!$T$37:$X$38,2,FALSE),0)),15-11*$X$5)</f>
        <v>0.19600000000000001</v>
      </c>
      <c r="AA20" s="4"/>
    </row>
    <row r="21" spans="1:27" x14ac:dyDescent="0.2">
      <c r="A21">
        <f t="shared" si="0"/>
        <v>1</v>
      </c>
      <c r="B21">
        <f t="shared" ca="1" si="1"/>
        <v>4</v>
      </c>
      <c r="C21">
        <f t="shared" ca="1" si="2"/>
        <v>4</v>
      </c>
      <c r="D21">
        <f t="shared" ca="1" si="3"/>
        <v>0</v>
      </c>
      <c r="E21">
        <f t="shared" ca="1" si="4"/>
        <v>0</v>
      </c>
      <c r="F21">
        <f t="shared" ca="1" si="5"/>
        <v>0</v>
      </c>
      <c r="G21">
        <f t="shared" ca="1" si="6"/>
        <v>0</v>
      </c>
      <c r="H21">
        <f t="shared" ca="1" si="7"/>
        <v>4</v>
      </c>
      <c r="I21" t="e">
        <f t="shared" ca="1" si="8"/>
        <v>#N/A</v>
      </c>
      <c r="J21" s="120" t="s">
        <v>99</v>
      </c>
      <c r="K21" s="162" t="str">
        <f t="shared" ca="1" si="9"/>
        <v>4.</v>
      </c>
      <c r="L21" s="209"/>
      <c r="M21" s="209"/>
      <c r="N21" s="231" t="s">
        <v>252</v>
      </c>
      <c r="O21" s="230" t="s">
        <v>106</v>
      </c>
      <c r="P21" s="225">
        <f ca="1">OFFSET(PLQ!$E$12,ROW($P21)-ROW(P$12),0)</f>
        <v>0</v>
      </c>
      <c r="Q21" s="229">
        <f t="shared" ca="1" si="16"/>
        <v>0</v>
      </c>
      <c r="R21" s="232" t="s">
        <v>7</v>
      </c>
      <c r="S21" s="121">
        <f t="shared" si="10"/>
        <v>0</v>
      </c>
      <c r="T21" s="98">
        <f t="shared" ca="1" si="11"/>
        <v>703.97</v>
      </c>
      <c r="U21" s="13" t="str">
        <f t="shared" ca="1" si="12"/>
        <v/>
      </c>
      <c r="V21" s="4">
        <f ca="1">IF(OR($A21=0,$A21="S",$A21&gt;CFF!$A$9),"",MAX(V$12:OFFSET(V21,-1,0))+1)</f>
        <v>4</v>
      </c>
      <c r="W21" s="9" t="b">
        <f t="shared" si="13"/>
        <v>0</v>
      </c>
      <c r="X21" s="4" t="str">
        <f t="shared" ca="1" si="14"/>
        <v>X</v>
      </c>
      <c r="Y21" s="121">
        <f t="shared" ca="1" si="15"/>
        <v>0</v>
      </c>
      <c r="Z21" s="132">
        <f ca="1">ROUND(IF(ISNUMBER(R21),R21,IF(LEFT(R21,3)="BDI",HLOOKUP(R21,DADOS!$T$37:$X$38,2,FALSE),0)),15-11*$X$5)</f>
        <v>0.19600000000000001</v>
      </c>
      <c r="AA21" s="4"/>
    </row>
    <row r="22" spans="1:27" ht="25.5" x14ac:dyDescent="0.2">
      <c r="A22" t="str">
        <f t="shared" si="0"/>
        <v>S</v>
      </c>
      <c r="B22">
        <f t="shared" si="1"/>
        <v>0</v>
      </c>
      <c r="C22">
        <f t="shared" ca="1" si="2"/>
        <v>4</v>
      </c>
      <c r="D22">
        <f t="shared" ca="1" si="3"/>
        <v>0</v>
      </c>
      <c r="E22">
        <f t="shared" ca="1" si="4"/>
        <v>0</v>
      </c>
      <c r="F22">
        <f t="shared" ca="1" si="5"/>
        <v>0</v>
      </c>
      <c r="G22">
        <f t="shared" ca="1" si="6"/>
        <v>1</v>
      </c>
      <c r="H22">
        <f t="shared" ca="1" si="7"/>
        <v>0</v>
      </c>
      <c r="I22">
        <f t="shared" ca="1" si="8"/>
        <v>0</v>
      </c>
      <c r="J22" s="120" t="s">
        <v>103</v>
      </c>
      <c r="K22" s="162" t="str">
        <f t="shared" ca="1" si="9"/>
        <v>4.1.</v>
      </c>
      <c r="L22" s="209" t="s">
        <v>237</v>
      </c>
      <c r="M22" s="209" t="s">
        <v>242</v>
      </c>
      <c r="N22" s="231" t="s">
        <v>253</v>
      </c>
      <c r="O22" s="230" t="s">
        <v>257</v>
      </c>
      <c r="P22" s="225">
        <f ca="1">OFFSET(PLQ!$E$12,ROW($P22)-ROW(P$12),0)</f>
        <v>1</v>
      </c>
      <c r="Q22" s="229">
        <f t="shared" ca="1" si="16"/>
        <v>200.34</v>
      </c>
      <c r="R22" s="232" t="s">
        <v>7</v>
      </c>
      <c r="S22" s="121">
        <f t="shared" ca="1" si="10"/>
        <v>239.61</v>
      </c>
      <c r="T22" s="98">
        <f t="shared" ca="1" si="11"/>
        <v>239.61</v>
      </c>
      <c r="U22" s="13" t="str">
        <f t="shared" ca="1" si="12"/>
        <v/>
      </c>
      <c r="V22" s="4" t="str">
        <f ca="1">IF(OR($A22=0,$A22="S",$A22&gt;CFF!$A$9),"",MAX(V$12:OFFSET(V22,-1,0))+1)</f>
        <v/>
      </c>
      <c r="W22" s="9" t="str">
        <f t="shared" si="13"/>
        <v>COMPOSIÇÃO-004</v>
      </c>
      <c r="X22" s="4">
        <f t="shared" ca="1" si="14"/>
        <v>10</v>
      </c>
      <c r="Y22" s="121">
        <f t="shared" ca="1" si="15"/>
        <v>200.34</v>
      </c>
      <c r="Z22" s="132">
        <f ca="1">ROUND(IF(ISNUMBER(R22),R22,IF(LEFT(R22,3)="BDI",HLOOKUP(R22,DADOS!$T$37:$X$38,2,FALSE),0)),15-11*$X$5)</f>
        <v>0.19600000000000001</v>
      </c>
      <c r="AA22" s="4"/>
    </row>
    <row r="23" spans="1:27" ht="25.5" x14ac:dyDescent="0.2">
      <c r="A23" t="str">
        <f t="shared" si="0"/>
        <v>S</v>
      </c>
      <c r="B23">
        <f t="shared" si="1"/>
        <v>0</v>
      </c>
      <c r="C23">
        <f t="shared" ca="1" si="2"/>
        <v>4</v>
      </c>
      <c r="D23">
        <f t="shared" ca="1" si="3"/>
        <v>0</v>
      </c>
      <c r="E23">
        <f t="shared" ca="1" si="4"/>
        <v>0</v>
      </c>
      <c r="F23">
        <f t="shared" ca="1" si="5"/>
        <v>0</v>
      </c>
      <c r="G23">
        <f t="shared" ca="1" si="6"/>
        <v>2</v>
      </c>
      <c r="H23">
        <f t="shared" ca="1" si="7"/>
        <v>0</v>
      </c>
      <c r="I23">
        <f t="shared" ca="1" si="8"/>
        <v>0</v>
      </c>
      <c r="J23" s="120" t="s">
        <v>103</v>
      </c>
      <c r="K23" s="162" t="str">
        <f t="shared" ca="1" si="9"/>
        <v>4.2.</v>
      </c>
      <c r="L23" s="209" t="s">
        <v>237</v>
      </c>
      <c r="M23" s="209" t="s">
        <v>243</v>
      </c>
      <c r="N23" s="231" t="s">
        <v>254</v>
      </c>
      <c r="O23" s="230" t="s">
        <v>257</v>
      </c>
      <c r="P23" s="225">
        <f ca="1">OFFSET(PLQ!$E$12,ROW($P23)-ROW(P$12),0)</f>
        <v>1</v>
      </c>
      <c r="Q23" s="229">
        <f t="shared" ca="1" si="16"/>
        <v>194.13</v>
      </c>
      <c r="R23" s="232" t="s">
        <v>7</v>
      </c>
      <c r="S23" s="121">
        <f t="shared" ca="1" si="10"/>
        <v>232.18</v>
      </c>
      <c r="T23" s="98">
        <f t="shared" ca="1" si="11"/>
        <v>232.18</v>
      </c>
      <c r="U23" s="13" t="str">
        <f t="shared" ca="1" si="12"/>
        <v/>
      </c>
      <c r="V23" s="4" t="str">
        <f ca="1">IF(OR($A23=0,$A23="S",$A23&gt;CFF!$A$9),"",MAX(V$12:OFFSET(V23,-1,0))+1)</f>
        <v/>
      </c>
      <c r="W23" s="9" t="str">
        <f t="shared" si="13"/>
        <v>COMPOSIÇÃO-005</v>
      </c>
      <c r="X23" s="4">
        <f t="shared" ca="1" si="14"/>
        <v>11</v>
      </c>
      <c r="Y23" s="121">
        <f t="shared" ca="1" si="15"/>
        <v>194.13</v>
      </c>
      <c r="Z23" s="132">
        <f ca="1">ROUND(IF(ISNUMBER(R23),R23,IF(LEFT(R23,3)="BDI",HLOOKUP(R23,DADOS!$T$37:$X$38,2,FALSE),0)),15-11*$X$5)</f>
        <v>0.19600000000000001</v>
      </c>
      <c r="AA23" s="4"/>
    </row>
    <row r="24" spans="1:27" ht="25.5" x14ac:dyDescent="0.2">
      <c r="A24" t="str">
        <f t="shared" si="0"/>
        <v>S</v>
      </c>
      <c r="B24">
        <f t="shared" si="1"/>
        <v>0</v>
      </c>
      <c r="C24">
        <f t="shared" ca="1" si="2"/>
        <v>4</v>
      </c>
      <c r="D24">
        <f t="shared" ca="1" si="3"/>
        <v>0</v>
      </c>
      <c r="E24">
        <f t="shared" ca="1" si="4"/>
        <v>0</v>
      </c>
      <c r="F24">
        <f t="shared" ca="1" si="5"/>
        <v>0</v>
      </c>
      <c r="G24">
        <f t="shared" ca="1" si="6"/>
        <v>3</v>
      </c>
      <c r="H24">
        <f t="shared" ca="1" si="7"/>
        <v>0</v>
      </c>
      <c r="I24">
        <f t="shared" ca="1" si="8"/>
        <v>0</v>
      </c>
      <c r="J24" s="120" t="s">
        <v>103</v>
      </c>
      <c r="K24" s="162" t="str">
        <f t="shared" ca="1" si="9"/>
        <v>4.3.</v>
      </c>
      <c r="L24" s="209" t="s">
        <v>237</v>
      </c>
      <c r="M24" s="209" t="s">
        <v>244</v>
      </c>
      <c r="N24" s="231" t="s">
        <v>255</v>
      </c>
      <c r="O24" s="230" t="s">
        <v>257</v>
      </c>
      <c r="P24" s="225">
        <f ca="1">OFFSET(PLQ!$E$12,ROW($P24)-ROW(P$12),0)</f>
        <v>1</v>
      </c>
      <c r="Q24" s="229">
        <f t="shared" ca="1" si="16"/>
        <v>194.13</v>
      </c>
      <c r="R24" s="232" t="s">
        <v>7</v>
      </c>
      <c r="S24" s="121">
        <f t="shared" ca="1" si="10"/>
        <v>232.18</v>
      </c>
      <c r="T24" s="98">
        <f t="shared" ca="1" si="11"/>
        <v>232.18</v>
      </c>
      <c r="U24" s="13" t="str">
        <f t="shared" ca="1" si="12"/>
        <v/>
      </c>
      <c r="V24" s="4" t="str">
        <f ca="1">IF(OR($A24=0,$A24="S",$A24&gt;CFF!$A$9),"",MAX(V$12:OFFSET(V24,-1,0))+1)</f>
        <v/>
      </c>
      <c r="W24" s="9" t="str">
        <f t="shared" si="13"/>
        <v>COMPOSIÇÃO-006</v>
      </c>
      <c r="X24" s="4">
        <f t="shared" ca="1" si="14"/>
        <v>12</v>
      </c>
      <c r="Y24" s="121">
        <f t="shared" ca="1" si="15"/>
        <v>194.13</v>
      </c>
      <c r="Z24" s="132">
        <f ca="1">ROUND(IF(ISNUMBER(R24),R24,IF(LEFT(R24,3)="BDI",HLOOKUP(R24,DADOS!$T$37:$X$38,2,FALSE),0)),15-11*$X$5)</f>
        <v>0.19600000000000001</v>
      </c>
      <c r="AA24" s="4"/>
    </row>
    <row r="25" spans="1:27" x14ac:dyDescent="0.2">
      <c r="A25">
        <v>-1</v>
      </c>
      <c r="C25">
        <v>0</v>
      </c>
      <c r="D25">
        <v>0</v>
      </c>
      <c r="E25">
        <v>0</v>
      </c>
      <c r="F25">
        <v>0</v>
      </c>
      <c r="G25">
        <v>0</v>
      </c>
      <c r="J25" s="83"/>
      <c r="K25" s="83"/>
      <c r="L25" s="83"/>
      <c r="M25" s="83"/>
      <c r="N25" s="83"/>
      <c r="O25" s="83"/>
      <c r="P25" s="83"/>
      <c r="Q25" s="83"/>
      <c r="R25" s="83"/>
      <c r="S25" s="83"/>
      <c r="T25" s="83"/>
      <c r="U25" s="4"/>
      <c r="V25" s="4"/>
      <c r="W25" s="4"/>
      <c r="X25" s="4"/>
      <c r="Y25" s="4"/>
      <c r="Z25" s="4"/>
      <c r="AA25" s="4"/>
    </row>
    <row r="26" spans="1:27" ht="14.25" x14ac:dyDescent="0.2">
      <c r="A26" s="4"/>
      <c r="B26" s="4"/>
      <c r="C26" s="4"/>
      <c r="D26" s="4"/>
      <c r="E26" s="4"/>
      <c r="F26" s="4"/>
      <c r="G26" s="4"/>
      <c r="H26" s="4"/>
      <c r="I26" s="4"/>
      <c r="J26" s="4"/>
      <c r="K26" s="84" t="s">
        <v>62</v>
      </c>
      <c r="L26" s="4"/>
      <c r="M26" s="366" t="s">
        <v>141</v>
      </c>
      <c r="N26" s="367"/>
      <c r="O26" s="367"/>
      <c r="P26" s="367"/>
      <c r="Q26" s="367"/>
      <c r="R26" s="367"/>
      <c r="S26" s="367"/>
      <c r="T26" s="368"/>
      <c r="U26" s="4"/>
      <c r="V26" s="4"/>
      <c r="W26" s="4"/>
      <c r="X26" s="4"/>
      <c r="Y26" s="4"/>
      <c r="Z26" s="4"/>
      <c r="AA26" s="4"/>
    </row>
    <row r="27" spans="1:27" x14ac:dyDescent="0.2">
      <c r="A27" s="4"/>
      <c r="B27" s="4"/>
      <c r="C27" s="4"/>
      <c r="D27" s="4"/>
      <c r="E27" s="4"/>
      <c r="F27" s="4"/>
      <c r="G27" s="4"/>
      <c r="H27" s="4"/>
      <c r="I27" s="4"/>
      <c r="J27" s="4"/>
      <c r="K27" s="4"/>
      <c r="L27" s="4"/>
      <c r="M27" s="4"/>
      <c r="N27" s="4"/>
      <c r="O27" s="4"/>
      <c r="P27" s="4"/>
      <c r="Q27" s="4"/>
      <c r="R27" s="4"/>
      <c r="S27" s="4"/>
      <c r="T27" s="4"/>
      <c r="U27" s="4"/>
      <c r="V27" s="4"/>
      <c r="W27" s="4"/>
      <c r="X27" s="4"/>
      <c r="Y27" s="4"/>
      <c r="Z27" s="4"/>
      <c r="AA27" s="4"/>
    </row>
    <row r="28" spans="1:27" ht="14.25" x14ac:dyDescent="0.2">
      <c r="A28" s="4"/>
      <c r="B28" s="4"/>
      <c r="C28" s="4"/>
      <c r="D28" s="4"/>
      <c r="E28" s="4"/>
      <c r="F28" s="4"/>
      <c r="G28" s="4"/>
      <c r="H28" s="4"/>
      <c r="I28" s="4"/>
      <c r="J28" s="4"/>
      <c r="K28" s="90" t="s">
        <v>21</v>
      </c>
      <c r="L28" s="20"/>
      <c r="M28" s="20"/>
      <c r="N28" s="20"/>
      <c r="O28" s="20"/>
      <c r="P28" s="20"/>
      <c r="Q28" s="20"/>
      <c r="R28" s="20"/>
      <c r="S28" s="20"/>
      <c r="T28" s="89"/>
      <c r="U28" s="4"/>
      <c r="V28" s="4"/>
      <c r="W28" s="4"/>
      <c r="X28" s="4"/>
      <c r="Y28" s="4"/>
      <c r="Z28" s="4"/>
      <c r="AA28" s="4"/>
    </row>
    <row r="29" spans="1:27" ht="12.75" customHeight="1" x14ac:dyDescent="0.2">
      <c r="A29" s="4"/>
      <c r="B29" s="4"/>
      <c r="C29" s="4"/>
      <c r="D29" s="4"/>
      <c r="E29" s="4"/>
      <c r="F29" s="4"/>
      <c r="G29" s="4"/>
      <c r="H29" s="4"/>
      <c r="I29" s="4"/>
      <c r="J29" s="4"/>
      <c r="K29" s="360"/>
      <c r="L29" s="361"/>
      <c r="M29" s="361"/>
      <c r="N29" s="361"/>
      <c r="O29" s="361"/>
      <c r="P29" s="361"/>
      <c r="Q29" s="361"/>
      <c r="R29" s="361"/>
      <c r="S29" s="361"/>
      <c r="T29" s="362"/>
      <c r="U29" s="4"/>
      <c r="V29" s="4"/>
      <c r="W29" s="4"/>
      <c r="X29" s="4"/>
      <c r="Y29" s="4"/>
      <c r="Z29" s="4"/>
      <c r="AA29" s="4"/>
    </row>
    <row r="30" spans="1:27" x14ac:dyDescent="0.2">
      <c r="A30" s="4"/>
      <c r="B30" s="4"/>
      <c r="C30" s="4"/>
      <c r="D30" s="4"/>
      <c r="E30" s="4"/>
      <c r="F30" s="4"/>
      <c r="G30" s="4"/>
      <c r="H30" s="4"/>
      <c r="I30" s="4"/>
      <c r="J30" s="4"/>
      <c r="K30" s="360"/>
      <c r="L30" s="361"/>
      <c r="M30" s="361"/>
      <c r="N30" s="361"/>
      <c r="O30" s="361"/>
      <c r="P30" s="361"/>
      <c r="Q30" s="361"/>
      <c r="R30" s="361"/>
      <c r="S30" s="361"/>
      <c r="T30" s="362"/>
      <c r="U30" s="4"/>
      <c r="V30" s="4"/>
      <c r="W30" s="4"/>
      <c r="X30" s="4"/>
      <c r="Y30" s="4"/>
      <c r="Z30" s="4"/>
      <c r="AA30" s="4"/>
    </row>
    <row r="31" spans="1:27" x14ac:dyDescent="0.2">
      <c r="A31" s="4"/>
      <c r="B31" s="4"/>
      <c r="C31" s="4"/>
      <c r="D31" s="4"/>
      <c r="E31" s="4"/>
      <c r="F31" s="4"/>
      <c r="G31" s="4"/>
      <c r="H31" s="4"/>
      <c r="I31" s="4"/>
      <c r="J31" s="4"/>
      <c r="K31" s="363"/>
      <c r="L31" s="364"/>
      <c r="M31" s="364"/>
      <c r="N31" s="364"/>
      <c r="O31" s="364"/>
      <c r="P31" s="364"/>
      <c r="Q31" s="364"/>
      <c r="R31" s="364"/>
      <c r="S31" s="364"/>
      <c r="T31" s="365"/>
      <c r="U31" s="4"/>
      <c r="V31" s="4"/>
      <c r="W31" s="4"/>
      <c r="X31" s="4"/>
      <c r="Y31" s="4"/>
      <c r="Z31" s="4"/>
      <c r="AA31" s="4"/>
    </row>
    <row r="32" spans="1:27" ht="14.25" x14ac:dyDescent="0.2">
      <c r="A32" s="4"/>
      <c r="B32" s="4"/>
      <c r="C32" s="4"/>
      <c r="D32" s="4"/>
      <c r="E32" s="4"/>
      <c r="F32" s="4"/>
      <c r="G32" s="4"/>
      <c r="H32" s="4"/>
      <c r="I32" s="4"/>
      <c r="J32" s="4"/>
      <c r="K32" s="213"/>
      <c r="L32" s="213"/>
      <c r="M32" s="213"/>
      <c r="N32" s="213"/>
      <c r="O32" s="213"/>
      <c r="P32" s="213"/>
      <c r="Q32" s="213"/>
      <c r="R32" s="213"/>
      <c r="S32" s="213"/>
      <c r="T32" s="213"/>
      <c r="U32" s="4"/>
      <c r="V32" s="4"/>
      <c r="W32" s="4"/>
      <c r="X32" s="4"/>
      <c r="Y32" s="4"/>
      <c r="Z32" s="4"/>
      <c r="AA32" s="4"/>
    </row>
    <row r="33" spans="1:27" ht="15" x14ac:dyDescent="0.25">
      <c r="A33" s="4"/>
      <c r="B33" s="4"/>
      <c r="C33" s="4"/>
      <c r="D33" s="4"/>
      <c r="E33" s="4"/>
      <c r="F33" s="4"/>
      <c r="G33" s="4"/>
      <c r="H33" s="4"/>
      <c r="I33" s="4"/>
      <c r="J33" s="4"/>
      <c r="K33" s="357"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33" s="358"/>
      <c r="M33" s="358"/>
      <c r="N33" s="358"/>
      <c r="O33" s="358"/>
      <c r="P33" s="358"/>
      <c r="Q33" s="358"/>
      <c r="R33" s="358"/>
      <c r="S33" s="358"/>
      <c r="T33" s="359"/>
      <c r="U33" s="4"/>
      <c r="V33" s="4"/>
      <c r="W33" s="4"/>
      <c r="X33" s="4"/>
      <c r="Y33" s="4"/>
      <c r="Z33" s="4"/>
      <c r="AA33" s="4"/>
    </row>
    <row r="34" spans="1:27" x14ac:dyDescent="0.2">
      <c r="A34" s="4"/>
      <c r="B34" s="4"/>
      <c r="C34" s="4"/>
      <c r="D34" s="4"/>
      <c r="E34" s="4"/>
      <c r="F34" s="4"/>
      <c r="G34" s="4"/>
      <c r="H34" s="4"/>
      <c r="I34" s="4"/>
      <c r="J34" s="4"/>
      <c r="K34" s="4"/>
      <c r="L34" s="4"/>
      <c r="M34" s="4"/>
      <c r="N34" s="4"/>
      <c r="O34" s="4"/>
      <c r="P34" s="4"/>
      <c r="Q34" s="4"/>
      <c r="R34" s="4"/>
      <c r="S34" s="4"/>
      <c r="T34" s="4"/>
      <c r="U34" s="4"/>
      <c r="V34" s="4"/>
      <c r="W34" s="4"/>
      <c r="X34" s="4"/>
      <c r="Y34" s="4"/>
      <c r="Z34" s="4"/>
      <c r="AA34" s="4"/>
    </row>
    <row r="35" spans="1:27" ht="21" customHeight="1" x14ac:dyDescent="0.2">
      <c r="A35" s="4"/>
      <c r="B35" s="4"/>
      <c r="C35" s="4"/>
      <c r="D35" s="4"/>
      <c r="E35" s="4"/>
      <c r="F35" s="4"/>
      <c r="G35" s="4"/>
      <c r="H35" s="4"/>
      <c r="I35" s="4"/>
      <c r="J35" s="4"/>
      <c r="K35" s="4"/>
      <c r="L35" s="4"/>
      <c r="M35" s="4"/>
      <c r="N35" s="4"/>
      <c r="O35" s="4"/>
      <c r="P35" s="4"/>
      <c r="Q35" s="4"/>
      <c r="R35" s="4"/>
      <c r="S35" s="4"/>
      <c r="T35" s="4"/>
      <c r="U35" s="4"/>
      <c r="V35" s="4"/>
      <c r="W35" s="4"/>
      <c r="X35" s="4"/>
      <c r="Y35" s="4"/>
      <c r="Z35" s="4"/>
      <c r="AA35" s="4"/>
    </row>
    <row r="36" spans="1:27" x14ac:dyDescent="0.2">
      <c r="A36" s="4"/>
      <c r="B36" s="4"/>
      <c r="C36" s="4"/>
      <c r="D36" s="4"/>
      <c r="E36" s="4"/>
      <c r="F36" s="4"/>
      <c r="G36" s="4"/>
      <c r="H36" s="4"/>
      <c r="I36" s="4"/>
      <c r="J36" s="4"/>
      <c r="K36" s="370" t="str">
        <f>Import.Município</f>
        <v>UBIRETAMA/RS</v>
      </c>
      <c r="L36" s="370"/>
      <c r="M36" s="370"/>
      <c r="N36" s="4"/>
      <c r="O36" s="4"/>
      <c r="P36" s="4"/>
      <c r="Q36" s="4"/>
      <c r="R36" s="4"/>
      <c r="S36" s="4"/>
      <c r="T36" s="4"/>
      <c r="U36" s="4"/>
      <c r="V36" s="4"/>
      <c r="W36" s="4"/>
      <c r="X36" s="4"/>
      <c r="Y36" s="4"/>
      <c r="Z36" s="4"/>
      <c r="AA36" s="4"/>
    </row>
    <row r="37" spans="1:27" x14ac:dyDescent="0.2">
      <c r="A37" s="4"/>
      <c r="B37" s="4"/>
      <c r="C37" s="4"/>
      <c r="D37" s="4"/>
      <c r="E37" s="4"/>
      <c r="F37" s="4"/>
      <c r="G37" s="4"/>
      <c r="H37" s="4"/>
      <c r="I37" s="4"/>
      <c r="J37" s="4"/>
      <c r="K37" s="112" t="s">
        <v>120</v>
      </c>
      <c r="L37" s="4"/>
      <c r="M37" s="4"/>
      <c r="N37" s="4"/>
      <c r="O37" s="4"/>
      <c r="P37" s="4"/>
      <c r="Q37" s="4"/>
      <c r="R37" s="4"/>
      <c r="S37" s="4"/>
      <c r="T37" s="4"/>
      <c r="U37" s="4"/>
      <c r="V37" s="4"/>
      <c r="W37" s="4"/>
      <c r="X37" s="4"/>
      <c r="Y37" s="4"/>
      <c r="Z37" s="4"/>
      <c r="AA37" s="4"/>
    </row>
    <row r="38" spans="1:27" x14ac:dyDescent="0.2">
      <c r="A38" s="4"/>
      <c r="B38" s="4"/>
      <c r="C38" s="4"/>
      <c r="D38" s="4"/>
      <c r="E38" s="4"/>
      <c r="F38" s="4"/>
      <c r="G38" s="4"/>
      <c r="H38" s="4"/>
      <c r="I38" s="4"/>
      <c r="J38" s="4"/>
      <c r="K38" s="4"/>
      <c r="L38" s="4"/>
      <c r="M38" s="4"/>
      <c r="N38" s="4"/>
      <c r="O38" s="4"/>
      <c r="P38" s="4"/>
      <c r="Q38" s="4"/>
      <c r="R38" s="4"/>
      <c r="S38" s="4"/>
      <c r="T38" s="4"/>
      <c r="U38" s="4"/>
      <c r="V38" s="4"/>
      <c r="W38" s="4"/>
      <c r="X38" s="4"/>
      <c r="Y38" s="4"/>
      <c r="Z38" s="4"/>
      <c r="AA38" s="4"/>
    </row>
    <row r="39" spans="1:27" x14ac:dyDescent="0.2">
      <c r="A39" s="4"/>
      <c r="B39" s="4"/>
      <c r="C39" s="4"/>
      <c r="D39" s="4"/>
      <c r="E39" s="4"/>
      <c r="F39" s="4"/>
      <c r="G39" s="4"/>
      <c r="H39" s="4"/>
      <c r="I39" s="4"/>
      <c r="J39" s="4"/>
      <c r="K39" s="369">
        <f ca="1">TODAY()</f>
        <v>45374</v>
      </c>
      <c r="L39" s="369"/>
      <c r="M39" s="369"/>
      <c r="N39" s="4"/>
      <c r="O39" s="4"/>
      <c r="P39" s="4"/>
      <c r="Q39" s="4"/>
      <c r="R39" s="4"/>
      <c r="S39" s="4"/>
      <c r="T39" s="4"/>
      <c r="U39" s="4"/>
      <c r="V39" s="4"/>
      <c r="W39" s="4"/>
      <c r="X39" s="4"/>
      <c r="Y39" s="4"/>
      <c r="Z39" s="4"/>
      <c r="AA39" s="4"/>
    </row>
    <row r="40" spans="1:27" x14ac:dyDescent="0.2">
      <c r="A40" s="4"/>
      <c r="B40" s="4"/>
      <c r="C40" s="4"/>
      <c r="D40" s="4"/>
      <c r="E40" s="4"/>
      <c r="F40" s="4"/>
      <c r="G40" s="4"/>
      <c r="H40" s="4"/>
      <c r="I40" s="4"/>
      <c r="J40" s="4"/>
      <c r="K40" s="141" t="s">
        <v>121</v>
      </c>
      <c r="L40" s="83"/>
      <c r="M40" s="83"/>
      <c r="N40" s="4"/>
      <c r="O40" s="4"/>
      <c r="P40" s="4"/>
      <c r="Q40" s="4"/>
      <c r="R40" s="4"/>
      <c r="S40" s="4"/>
      <c r="T40" s="4"/>
      <c r="U40" s="4"/>
      <c r="V40" s="4"/>
      <c r="W40" s="4"/>
      <c r="X40" s="4"/>
      <c r="Y40" s="4"/>
      <c r="Z40" s="4"/>
      <c r="AA40" s="4"/>
    </row>
  </sheetData>
  <sheetProtection password="C95B" sheet="1" objects="1" scenarios="1"/>
  <mergeCells count="6">
    <mergeCell ref="W2:X2"/>
    <mergeCell ref="K33:T33"/>
    <mergeCell ref="K29:T31"/>
    <mergeCell ref="M26:T26"/>
    <mergeCell ref="K39:M39"/>
    <mergeCell ref="K36:M36"/>
  </mergeCells>
  <phoneticPr fontId="25" type="noConversion"/>
  <conditionalFormatting sqref="O12:R12 L12:M12">
    <cfRule type="expression" dxfId="113" priority="1769" stopIfTrue="1">
      <formula>$J12=$C$2</formula>
    </cfRule>
    <cfRule type="expression" dxfId="112" priority="1770" stopIfTrue="1">
      <formula>UPPER(LEFT($J12,5))="NÍVEL"</formula>
    </cfRule>
    <cfRule type="expression" dxfId="111" priority="1771" stopIfTrue="1">
      <formula>$J12=$C$8</formula>
    </cfRule>
  </conditionalFormatting>
  <conditionalFormatting sqref="Y12:Z12 S12:T12 K12">
    <cfRule type="expression" dxfId="110" priority="1772" stopIfTrue="1">
      <formula>$J12=$C$2</formula>
    </cfRule>
    <cfRule type="expression" dxfId="109" priority="1773" stopIfTrue="1">
      <formula>UPPER(LEFT($J12,5))="NÍVEL"</formula>
    </cfRule>
  </conditionalFormatting>
  <conditionalFormatting sqref="K11 K13:K24">
    <cfRule type="expression" dxfId="108" priority="1785" stopIfTrue="1">
      <formula>$J11=$C$2</formula>
    </cfRule>
    <cfRule type="expression" dxfId="107" priority="1786" stopIfTrue="1">
      <formula>AND($J11&lt;&gt;"",$J11&lt;&gt;"Serviço")</formula>
    </cfRule>
    <cfRule type="expression" dxfId="106" priority="1787" stopIfTrue="1">
      <formula>$J11=""</formula>
    </cfRule>
  </conditionalFormatting>
  <conditionalFormatting sqref="P11 P13:P24">
    <cfRule type="expression" dxfId="105" priority="112" stopIfTrue="1">
      <formula>$J11=$C$2</formula>
    </cfRule>
    <cfRule type="expression" dxfId="104" priority="1791" stopIfTrue="1">
      <formula>AND($J11&lt;&gt;"Serviço")</formula>
    </cfRule>
    <cfRule type="expression" dxfId="103" priority="1792" stopIfTrue="1">
      <formula>CELL("proteger",P11)</formula>
    </cfRule>
  </conditionalFormatting>
  <conditionalFormatting sqref="Q11:R11 Q13:R24">
    <cfRule type="expression" dxfId="102" priority="1793" stopIfTrue="1">
      <formula>$J11=$C$2</formula>
    </cfRule>
    <cfRule type="expression" dxfId="101" priority="1794" stopIfTrue="1">
      <formula>$J11&lt;&gt;"Serviço"</formula>
    </cfRule>
    <cfRule type="expression" dxfId="100" priority="1795" stopIfTrue="1">
      <formula>CELL("proteger",Q11)</formula>
    </cfRule>
  </conditionalFormatting>
  <conditionalFormatting sqref="S11:T11 Y11:Z11 S13:T24 Y13:Z24">
    <cfRule type="expression" dxfId="99" priority="1796" stopIfTrue="1">
      <formula>$J11=$C$2</formula>
    </cfRule>
    <cfRule type="expression" dxfId="98" priority="1797" stopIfTrue="1">
      <formula>$J11&lt;&gt;"Serviço"</formula>
    </cfRule>
  </conditionalFormatting>
  <conditionalFormatting sqref="L11:M11 L13:M24">
    <cfRule type="expression" dxfId="97" priority="1817" stopIfTrue="1">
      <formula>$J11=$C$2</formula>
    </cfRule>
    <cfRule type="expression" dxfId="96" priority="1818" stopIfTrue="1">
      <formula>$J11&lt;&gt;"Serviço"</formula>
    </cfRule>
    <cfRule type="expression" dxfId="95" priority="1819" stopIfTrue="1">
      <formula>OR(CELL("proteger",L11),$J11="",TipoOrçamento="Licitado")</formula>
    </cfRule>
  </conditionalFormatting>
  <conditionalFormatting sqref="K26:T26">
    <cfRule type="expression" dxfId="94" priority="1798" stopIfTrue="1">
      <formula>OR(Tipo.Orçamento="LICITADO",Tipo.Orçamento="REPROGRAMADOAC")</formula>
    </cfRule>
    <cfRule type="expression" dxfId="93" priority="1799" stopIfTrue="1">
      <formula>$M$26=""</formula>
    </cfRule>
  </conditionalFormatting>
  <conditionalFormatting sqref="J11 J13">
    <cfRule type="expression" dxfId="92" priority="1826" stopIfTrue="1">
      <formula>TipoOrçamento="Licitado"</formula>
    </cfRule>
  </conditionalFormatting>
  <conditionalFormatting sqref="O11 O13:O24">
    <cfRule type="expression" dxfId="91" priority="132" stopIfTrue="1">
      <formula>$J11=$C$2</formula>
    </cfRule>
    <cfRule type="expression" dxfId="90" priority="133" stopIfTrue="1">
      <formula>AND($J11&lt;&gt;"Serviço")</formula>
    </cfRule>
    <cfRule type="expression" dxfId="89" priority="134" stopIfTrue="1">
      <formula>CELL("proteger",O11)</formula>
    </cfRule>
  </conditionalFormatting>
  <conditionalFormatting sqref="N11 N14:N24">
    <cfRule type="expression" dxfId="88" priority="135" stopIfTrue="1">
      <formula>$J11=$C$2</formula>
    </cfRule>
    <cfRule type="expression" dxfId="87" priority="136" stopIfTrue="1">
      <formula>$J11&lt;&gt;"Serviço"</formula>
    </cfRule>
    <cfRule type="expression" dxfId="86" priority="137" stopIfTrue="1">
      <formula>CELL("proteger",N11)</formula>
    </cfRule>
  </conditionalFormatting>
  <conditionalFormatting sqref="J14:J24">
    <cfRule type="expression" dxfId="85" priority="24" stopIfTrue="1">
      <formula>TipoOrçamento="Licitado"</formula>
    </cfRule>
  </conditionalFormatting>
  <conditionalFormatting sqref="N13">
    <cfRule type="expression" dxfId="84" priority="1" stopIfTrue="1">
      <formula>$J13=$C$2</formula>
    </cfRule>
    <cfRule type="expression" dxfId="83" priority="2" stopIfTrue="1">
      <formula>$J13&lt;&gt;"Serviço"</formula>
    </cfRule>
    <cfRule type="expression" dxfId="82" priority="3" stopIfTrue="1">
      <formula>CELL("proteger",N13)</formula>
    </cfRule>
  </conditionalFormatting>
  <dataValidations disablePrompts="1" count="3">
    <dataValidation type="decimal" operator="greaterThan" allowBlank="1" showInputMessage="1" showErrorMessage="1" error="Apenas números decimais maiores que zero." sqref="Q11 Q13:Q24">
      <formula1>0</formula1>
    </dataValidation>
    <dataValidation type="list" errorStyle="warning" allowBlank="1" showInputMessage="1" showErrorMessage="1" error="Selecione um dos 5 BDI da lista._x000a__x000a_Caso tenha mais de 5 BDI nesta Planilha Orçamentária digite apenas valor percentual." sqref="R11 R13:R24">
      <formula1>Dados.Lista.BDI</formula1>
    </dataValidation>
    <dataValidation type="list" showInputMessage="1" showErrorMessage="1" errorTitle="Erro de Entrada" error="Selecione somente os itens da lista." promptTitle="Nível:" prompt="Selecione na lista o nível de itemização da Planilha." sqref="J11 J14:J24">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36 K3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428625</xdr:colOff>
                    <xdr:row>7</xdr:row>
                    <xdr:rowOff>114300</xdr:rowOff>
                  </from>
                  <to>
                    <xdr:col>15</xdr:col>
                    <xdr:colOff>847725</xdr:colOff>
                    <xdr:row>7</xdr:row>
                    <xdr:rowOff>342900</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419100</xdr:colOff>
                    <xdr:row>7</xdr:row>
                    <xdr:rowOff>114300</xdr:rowOff>
                  </from>
                  <to>
                    <xdr:col>16</xdr:col>
                    <xdr:colOff>838200</xdr:colOff>
                    <xdr:row>7</xdr:row>
                    <xdr:rowOff>342900</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257175</xdr:colOff>
                    <xdr:row>7</xdr:row>
                    <xdr:rowOff>114300</xdr:rowOff>
                  </from>
                  <to>
                    <xdr:col>17</xdr:col>
                    <xdr:colOff>676275</xdr:colOff>
                    <xdr:row>7</xdr:row>
                    <xdr:rowOff>342900</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333375</xdr:colOff>
                    <xdr:row>7</xdr:row>
                    <xdr:rowOff>114300</xdr:rowOff>
                  </from>
                  <to>
                    <xdr:col>18</xdr:col>
                    <xdr:colOff>752475</xdr:colOff>
                    <xdr:row>7</xdr:row>
                    <xdr:rowOff>342900</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419100</xdr:colOff>
                    <xdr:row>7</xdr:row>
                    <xdr:rowOff>104775</xdr:rowOff>
                  </from>
                  <to>
                    <xdr:col>19</xdr:col>
                    <xdr:colOff>838200</xdr:colOff>
                    <xdr:row>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31"/>
  <sheetViews>
    <sheetView showGridLines="0" zoomScale="85" zoomScaleNormal="85" zoomScaleSheetLayoutView="100" workbookViewId="0">
      <pane xSplit="5" ySplit="10" topLeftCell="F17" activePane="bottomRight" state="frozen"/>
      <selection pane="topRight"/>
      <selection pane="bottomLeft"/>
      <selection pane="bottomRight" activeCell="F21" sqref="F21"/>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122" t="s">
        <v>259</v>
      </c>
      <c r="G9" s="122"/>
      <c r="H9" s="122"/>
      <c r="I9" s="122"/>
      <c r="J9" s="122"/>
      <c r="K9" s="122"/>
      <c r="L9" s="122"/>
      <c r="M9" s="122"/>
      <c r="N9" s="122"/>
      <c r="O9" s="122"/>
      <c r="U9" s="122"/>
    </row>
    <row r="10" spans="1:21" s="15" customFormat="1" ht="30" customHeight="1" x14ac:dyDescent="0.2">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c r="G11" s="215"/>
      <c r="H11" s="215"/>
      <c r="I11" s="215"/>
      <c r="J11" s="215"/>
      <c r="K11" s="215"/>
      <c r="L11" s="215"/>
      <c r="M11" s="215"/>
      <c r="N11" s="215"/>
      <c r="O11" s="215"/>
      <c r="U11" s="215"/>
    </row>
    <row r="12" spans="1:21" s="4" customFormat="1" x14ac:dyDescent="0.2">
      <c r="A12" s="76" t="str">
        <f>PO!J12</f>
        <v>LOTE</v>
      </c>
      <c r="B12" s="76"/>
      <c r="C12" s="76" t="str">
        <f>PO!N12</f>
        <v>PAVIMENTAÇÃO COM CALÇAMENTO COM PEDRAS BASÁLTICAS IRREGULARES LINHA NATAL SUL, INTERIOR (ZONA RURAL)</v>
      </c>
      <c r="D12" s="76"/>
      <c r="E12" s="216"/>
      <c r="F12" s="217"/>
      <c r="G12" s="217"/>
      <c r="H12" s="217"/>
      <c r="I12" s="217"/>
      <c r="J12" s="217"/>
      <c r="K12" s="217"/>
      <c r="L12" s="217"/>
      <c r="M12" s="217"/>
      <c r="N12" s="217"/>
      <c r="O12" s="217"/>
      <c r="U12" s="217"/>
    </row>
    <row r="13" spans="1:21" s="4" customFormat="1" x14ac:dyDescent="0.2">
      <c r="A13" s="126" t="str">
        <f ca="1">OFFSET(PO!J$12,ROW(A13)-ROW($A$12),0)</f>
        <v>Meta</v>
      </c>
      <c r="B13" s="130" t="str">
        <f ca="1">IF($A13=0,"",OFFSET(PO!K$12,ROW(B13)-ROW(B$12),0))</f>
        <v>1.</v>
      </c>
      <c r="C13" s="127" t="str">
        <f ca="1">IF(OFFSET(PO!N$12,ROW(C13)-ROW(C$12),0)=0,"",OFFSET(PO!N$12,ROW(C13)-ROW(C$12),0))</f>
        <v>SERVIÇOS INICIAIS</v>
      </c>
      <c r="D13" s="129" t="str">
        <f ca="1">IF(OFFSET(PO!O$12,ROW(D13)-ROW(D$12),0)=0,"",OFFSET(PO!O$12,ROW(D13)-ROW(D$12),0))</f>
        <v/>
      </c>
      <c r="E13" s="165">
        <f ca="1">IF($A13&lt;&gt;"Serviço",0,ROUND(SUMIF($F$9:$P$9,"&lt;&gt;",$F13:$P13),15-13*PO!$X$3))</f>
        <v>0</v>
      </c>
      <c r="F13" s="215"/>
      <c r="G13" s="215"/>
      <c r="H13" s="215"/>
      <c r="I13" s="215"/>
      <c r="J13" s="215"/>
      <c r="K13" s="215"/>
      <c r="L13" s="215"/>
      <c r="M13" s="215"/>
      <c r="N13" s="215"/>
      <c r="O13" s="215"/>
      <c r="U13" s="215"/>
    </row>
    <row r="14" spans="1:21" s="4" customFormat="1" x14ac:dyDescent="0.2">
      <c r="A14" s="128" t="str">
        <f ca="1">OFFSET(PO!J$12,ROW(A14)-ROW($A$12),0)</f>
        <v>Serviço</v>
      </c>
      <c r="B14" s="130" t="str">
        <f ca="1">IF($A14=0,"",OFFSET(PO!K$12,ROW(B14)-ROW(B$12),0))</f>
        <v>1.1.</v>
      </c>
      <c r="C14" s="127" t="str">
        <f ca="1">IF(OFFSET(PO!N$12,ROW(C14)-ROW(C$12),0)=0,"",OFFSET(PO!N$12,ROW(C14)-ROW(C$12),0))</f>
        <v>LOCAÇÃO DE PAVIMENTAÇÃO. AF_10/2018</v>
      </c>
      <c r="D14" s="129" t="str">
        <f ca="1">IF(OFFSET(PO!O$12,ROW(D14)-ROW(D$12),0)=0,"",OFFSET(PO!O$12,ROW(D14)-ROW(D$12),0))</f>
        <v>M</v>
      </c>
      <c r="E14" s="165">
        <f ca="1">IF($A14&lt;&gt;"Serviço",0,ROUND(SUMIF($F$9:$P$9,"&lt;&gt;",$F14:$P14),15-13*PO!$X$3))</f>
        <v>1240</v>
      </c>
      <c r="F14" s="215">
        <v>1240</v>
      </c>
      <c r="G14" s="215"/>
      <c r="H14" s="215"/>
      <c r="I14" s="215"/>
      <c r="J14" s="215"/>
      <c r="K14" s="215"/>
      <c r="L14" s="215"/>
      <c r="M14" s="215"/>
      <c r="N14" s="215"/>
      <c r="O14" s="215"/>
      <c r="U14" s="215"/>
    </row>
    <row r="15" spans="1:21" s="4" customFormat="1" ht="63.75" x14ac:dyDescent="0.2">
      <c r="A15" s="128" t="str">
        <f ca="1">OFFSET(PO!J$12,ROW(A15)-ROW($A$12),0)</f>
        <v>Serviço</v>
      </c>
      <c r="B15" s="130" t="str">
        <f ca="1">IF($A15=0,"",OFFSET(PO!K$12,ROW(B15)-ROW(B$12),0))</f>
        <v>1.2.</v>
      </c>
      <c r="C15" s="127" t="str">
        <f ca="1">IF(OFFSET(PO!N$12,ROW(C15)-ROW(C$12),0)=0,"",OFFSET(PO!N$12,ROW(C15)-ROW(C$12),0))</f>
        <v>PLACA DE OBRA (PADRÃO GOVERNO FEDERAL) DE 3,00 X 1,50 M - CONFORME MANUAL VISUAL DE PLACAS E ADESIVOS DE OBRAS DA CAIXA DE JANEIRO DE 2022, DISPONÍNEL EM: https://www.caixa.gov.br/Downloads/gestao-urbana-manual-visual-placas-adesivos-obras/Manual-Placa-de-Obras.pdf</v>
      </c>
      <c r="D15" s="129" t="str">
        <f ca="1">IF(OFFSET(PO!O$12,ROW(D15)-ROW(D$12),0)=0,"",OFFSET(PO!O$12,ROW(D15)-ROW(D$12),0))</f>
        <v>UNIDADE</v>
      </c>
      <c r="E15" s="165">
        <f ca="1">IF($A15&lt;&gt;"Serviço",0,ROUND(SUMIF($F$9:$P$9,"&lt;&gt;",$F15:$P15),15-13*PO!$X$3))</f>
        <v>1</v>
      </c>
      <c r="F15" s="215">
        <v>1</v>
      </c>
      <c r="G15" s="215"/>
      <c r="H15" s="215"/>
      <c r="I15" s="215"/>
      <c r="J15" s="215"/>
      <c r="K15" s="215"/>
      <c r="L15" s="215"/>
      <c r="M15" s="215"/>
      <c r="N15" s="215"/>
      <c r="O15" s="215"/>
      <c r="U15" s="215"/>
    </row>
    <row r="16" spans="1:21" s="4" customFormat="1" ht="25.5" x14ac:dyDescent="0.2">
      <c r="A16" s="128" t="str">
        <f ca="1">OFFSET(PO!J$12,ROW(A16)-ROW($A$12),0)</f>
        <v>Serviço</v>
      </c>
      <c r="B16" s="130" t="str">
        <f ca="1">IF($A16=0,"",OFFSET(PO!K$12,ROW(B16)-ROW(B$12),0))</f>
        <v>1.3.</v>
      </c>
      <c r="C16" s="127" t="str">
        <f ca="1">IF(OFFSET(PO!N$12,ROW(C16)-ROW(C$12),0)=0,"",OFFSET(PO!N$12,ROW(C16)-ROW(C$12),0))</f>
        <v>REGULARIZAÇÃO E COMPACTAÇÃO DE SUBLEITO DE SOLO  PREDOMINANTEMENTE ARGILOSO. AF_11/2019</v>
      </c>
      <c r="D16" s="129" t="str">
        <f ca="1">IF(OFFSET(PO!O$12,ROW(D16)-ROW(D$12),0)=0,"",OFFSET(PO!O$12,ROW(D16)-ROW(D$12),0))</f>
        <v>M2</v>
      </c>
      <c r="E16" s="165">
        <f ca="1">IF($A16&lt;&gt;"Serviço",0,ROUND(SUMIF($F$9:$P$9,"&lt;&gt;",$F16:$P16),15-13*PO!$X$3))</f>
        <v>7440</v>
      </c>
      <c r="F16" s="215">
        <v>7440</v>
      </c>
      <c r="G16" s="215"/>
      <c r="H16" s="215"/>
      <c r="I16" s="215"/>
      <c r="J16" s="215"/>
      <c r="K16" s="215"/>
      <c r="L16" s="215"/>
      <c r="M16" s="215"/>
      <c r="N16" s="215"/>
      <c r="O16" s="215"/>
      <c r="U16" s="215"/>
    </row>
    <row r="17" spans="1:21" s="4" customFormat="1" x14ac:dyDescent="0.2">
      <c r="A17" s="128" t="str">
        <f ca="1">OFFSET(PO!J$12,ROW(A17)-ROW($A$12),0)</f>
        <v>Meta</v>
      </c>
      <c r="B17" s="130" t="str">
        <f ca="1">IF($A17=0,"",OFFSET(PO!K$12,ROW(B17)-ROW(B$12),0))</f>
        <v>2.</v>
      </c>
      <c r="C17" s="127" t="str">
        <f ca="1">IF(OFFSET(PO!N$12,ROW(C17)-ROW(C$12),0)=0,"",OFFSET(PO!N$12,ROW(C17)-ROW(C$12),0))</f>
        <v>PAVIMENTAÇÃO</v>
      </c>
      <c r="D17" s="129" t="str">
        <f ca="1">IF(OFFSET(PO!O$12,ROW(D17)-ROW(D$12),0)=0,"",OFFSET(PO!O$12,ROW(D17)-ROW(D$12),0))</f>
        <v/>
      </c>
      <c r="E17" s="165">
        <f ca="1">IF($A17&lt;&gt;"Serviço",0,ROUND(SUMIF($F$9:$P$9,"&lt;&gt;",$F17:$P17),15-13*PO!$X$3))</f>
        <v>0</v>
      </c>
      <c r="F17" s="215">
        <v>5555.55</v>
      </c>
      <c r="G17" s="215"/>
      <c r="H17" s="215"/>
      <c r="I17" s="215"/>
      <c r="J17" s="215"/>
      <c r="K17" s="215"/>
      <c r="L17" s="215"/>
      <c r="M17" s="215"/>
      <c r="N17" s="215"/>
      <c r="O17" s="215"/>
      <c r="U17" s="215"/>
    </row>
    <row r="18" spans="1:21" s="4" customFormat="1" ht="38.25" x14ac:dyDescent="0.2">
      <c r="A18" s="128" t="str">
        <f ca="1">OFFSET(PO!J$12,ROW(A18)-ROW($A$12),0)</f>
        <v>Serviço</v>
      </c>
      <c r="B18" s="130" t="str">
        <f ca="1">IF($A18=0,"",OFFSET(PO!K$12,ROW(B18)-ROW(B$12),0))</f>
        <v>2.1.</v>
      </c>
      <c r="C18" s="127" t="str">
        <f ca="1">IF(OFFSET(PO!N$12,ROW(C18)-ROW(C$12),0)=0,"",OFFSET(PO!N$12,ROW(C18)-ROW(C$12),0))</f>
        <v>EXECUÇÃO DE CALÇAMENTO COM PEDRAS BASÁLTICAS IRREGULARES INCLUSO TRANSPORTE,  MATERIAIS E MÃO DE OBRA</v>
      </c>
      <c r="D18" s="129" t="str">
        <f ca="1">IF(OFFSET(PO!O$12,ROW(D18)-ROW(D$12),0)=0,"",OFFSET(PO!O$12,ROW(D18)-ROW(D$12),0))</f>
        <v>M2</v>
      </c>
      <c r="E18" s="165">
        <f ca="1">IF($A18&lt;&gt;"Serviço",0,ROUND(SUMIF($F$9:$P$9,"&lt;&gt;",$F18:$P18),15-13*PO!$X$3))</f>
        <v>7440</v>
      </c>
      <c r="F18" s="215">
        <v>7440</v>
      </c>
      <c r="G18" s="215"/>
      <c r="H18" s="215"/>
      <c r="I18" s="215"/>
      <c r="J18" s="215"/>
      <c r="K18" s="215"/>
      <c r="L18" s="215"/>
      <c r="M18" s="215"/>
      <c r="N18" s="215"/>
      <c r="O18" s="215"/>
      <c r="U18" s="215"/>
    </row>
    <row r="19" spans="1:21" s="4" customFormat="1" x14ac:dyDescent="0.2">
      <c r="A19" s="128" t="str">
        <f ca="1">OFFSET(PO!J$12,ROW(A19)-ROW($A$12),0)</f>
        <v>Meta</v>
      </c>
      <c r="B19" s="130" t="str">
        <f ca="1">IF($A19=0,"",OFFSET(PO!K$12,ROW(B19)-ROW(B$12),0))</f>
        <v>3.</v>
      </c>
      <c r="C19" s="127" t="str">
        <f ca="1">IF(OFFSET(PO!N$12,ROW(C19)-ROW(C$12),0)=0,"",OFFSET(PO!N$12,ROW(C19)-ROW(C$12),0))</f>
        <v>MEIO-FIO</v>
      </c>
      <c r="D19" s="129" t="str">
        <f ca="1">IF(OFFSET(PO!O$12,ROW(D19)-ROW(D$12),0)=0,"",OFFSET(PO!O$12,ROW(D19)-ROW(D$12),0))</f>
        <v/>
      </c>
      <c r="E19" s="165">
        <f ca="1">IF($A19&lt;&gt;"Serviço",0,ROUND(SUMIF($F$9:$P$9,"&lt;&gt;",$F19:$P19),15-13*PO!$X$3))</f>
        <v>0</v>
      </c>
      <c r="F19" s="215"/>
      <c r="G19" s="215"/>
      <c r="H19" s="215"/>
      <c r="I19" s="215"/>
      <c r="J19" s="215"/>
      <c r="K19" s="215"/>
      <c r="L19" s="215"/>
      <c r="M19" s="215"/>
      <c r="N19" s="215"/>
      <c r="O19" s="215"/>
      <c r="U19" s="215"/>
    </row>
    <row r="20" spans="1:21" s="4" customFormat="1" ht="51" x14ac:dyDescent="0.2">
      <c r="A20" s="128" t="str">
        <f ca="1">OFFSET(PO!J$12,ROW(A20)-ROW($A$12),0)</f>
        <v>Serviço</v>
      </c>
      <c r="B20" s="130" t="str">
        <f ca="1">IF($A20=0,"",OFFSET(PO!K$12,ROW(B20)-ROW(B$12),0))</f>
        <v>3.1.</v>
      </c>
      <c r="C20" s="127" t="str">
        <f ca="1">IF(OFFSET(PO!N$12,ROW(C20)-ROW(C$12),0)=0,"",OFFSET(PO!N$12,ROW(C20)-ROW(C$12),0))</f>
        <v>ASSENTAMENTO DE GUIA (MEIO-FIO) EM TRECHO RETO, CONFECCIONADA EM CONCRETO PRÉ-FABRICADO, DIMENSÕES 100X15X12X20 CM (COMPRIMENTO X BASE INFERIOR X BASE SUPERIOR X ALTURA).</v>
      </c>
      <c r="D20" s="129" t="str">
        <f ca="1">IF(OFFSET(PO!O$12,ROW(D20)-ROW(D$12),0)=0,"",OFFSET(PO!O$12,ROW(D20)-ROW(D$12),0))</f>
        <v>M</v>
      </c>
      <c r="E20" s="165">
        <f ca="1">IF($A20&lt;&gt;"Serviço",0,ROUND(SUMIF($F$9:$P$9,"&lt;&gt;",$F20:$P20),15-13*PO!$X$3))</f>
        <v>2480</v>
      </c>
      <c r="F20" s="215">
        <v>2480</v>
      </c>
      <c r="G20" s="215"/>
      <c r="H20" s="215"/>
      <c r="I20" s="215"/>
      <c r="J20" s="215"/>
      <c r="K20" s="215"/>
      <c r="L20" s="215"/>
      <c r="M20" s="215"/>
      <c r="N20" s="215"/>
      <c r="O20" s="215"/>
      <c r="U20" s="215"/>
    </row>
    <row r="21" spans="1:21" s="4" customFormat="1" x14ac:dyDescent="0.2">
      <c r="A21" s="128" t="str">
        <f ca="1">OFFSET(PO!J$12,ROW(A21)-ROW($A$12),0)</f>
        <v>Meta</v>
      </c>
      <c r="B21" s="130" t="str">
        <f ca="1">IF($A21=0,"",OFFSET(PO!K$12,ROW(B21)-ROW(B$12),0))</f>
        <v>4.</v>
      </c>
      <c r="C21" s="127" t="str">
        <f ca="1">IF(OFFSET(PO!N$12,ROW(C21)-ROW(C$12),0)=0,"",OFFSET(PO!N$12,ROW(C21)-ROW(C$12),0))</f>
        <v>SINALIZAÇÃO VERTICAL</v>
      </c>
      <c r="D21" s="129" t="str">
        <f ca="1">IF(OFFSET(PO!O$12,ROW(D21)-ROW(D$12),0)=0,"",OFFSET(PO!O$12,ROW(D21)-ROW(D$12),0))</f>
        <v/>
      </c>
      <c r="E21" s="165">
        <f ca="1">IF($A21&lt;&gt;"Serviço",0,ROUND(SUMIF($F$9:$P$9,"&lt;&gt;",$F21:$P21),15-13*PO!$X$3))</f>
        <v>0</v>
      </c>
      <c r="F21" s="215"/>
      <c r="G21" s="215"/>
      <c r="H21" s="215"/>
      <c r="I21" s="215"/>
      <c r="J21" s="215"/>
      <c r="K21" s="215"/>
      <c r="L21" s="215"/>
      <c r="M21" s="215"/>
      <c r="N21" s="215"/>
      <c r="O21" s="215"/>
      <c r="U21" s="215"/>
    </row>
    <row r="22" spans="1:21" s="4" customFormat="1" ht="38.25" x14ac:dyDescent="0.2">
      <c r="A22" s="128" t="str">
        <f ca="1">OFFSET(PO!J$12,ROW(A22)-ROW($A$12),0)</f>
        <v>Serviço</v>
      </c>
      <c r="B22" s="130" t="str">
        <f ca="1">IF($A22=0,"",OFFSET(PO!K$12,ROW(B22)-ROW(B$12),0))</f>
        <v>4.1.</v>
      </c>
      <c r="C22" s="127" t="str">
        <f ca="1">IF(OFFSET(PO!N$12,ROW(C22)-ROW(C$12),0)=0,"",OFFSET(PO!N$12,ROW(C22)-ROW(C$12),0))</f>
        <v>SINALIZAÇÃO VERTICAL, PLACA TIPO R-1 (PARADA OBRIGATÓRIA) COMPLETA COM POSTE METÁLICO 2" H= 3,50M L=50 CM</v>
      </c>
      <c r="D22" s="129" t="str">
        <f ca="1">IF(OFFSET(PO!O$12,ROW(D22)-ROW(D$12),0)=0,"",OFFSET(PO!O$12,ROW(D22)-ROW(D$12),0))</f>
        <v>UNIDADE</v>
      </c>
      <c r="E22" s="165">
        <f ca="1">IF($A22&lt;&gt;"Serviço",0,ROUND(SUMIF($F$9:$P$9,"&lt;&gt;",$F22:$P22),15-13*PO!$X$3))</f>
        <v>1</v>
      </c>
      <c r="F22" s="215">
        <v>1</v>
      </c>
      <c r="G22" s="215"/>
      <c r="H22" s="215"/>
      <c r="I22" s="215"/>
      <c r="J22" s="215"/>
      <c r="K22" s="215"/>
      <c r="L22" s="215"/>
      <c r="M22" s="215"/>
      <c r="N22" s="215"/>
      <c r="O22" s="215"/>
      <c r="U22" s="215"/>
    </row>
    <row r="23" spans="1:21" s="4" customFormat="1" ht="25.5" x14ac:dyDescent="0.2">
      <c r="A23" s="128" t="str">
        <f ca="1">OFFSET(PO!J$12,ROW(A23)-ROW($A$12),0)</f>
        <v>Serviço</v>
      </c>
      <c r="B23" s="130" t="str">
        <f ca="1">IF($A23=0,"",OFFSET(PO!K$12,ROW(B23)-ROW(B$12),0))</f>
        <v>4.2.</v>
      </c>
      <c r="C23" s="127" t="str">
        <f ca="1">IF(OFFSET(PO!N$12,ROW(C23)-ROW(C$12),0)=0,"",OFFSET(PO!N$12,ROW(C23)-ROW(C$12),0))</f>
        <v>SINALIZAÇÃO VERTICAL, PLACA TIPO R-19f (40KM/H) COMPLETA COM POSTE METÁLICO 2" H= 3,50M L=50 CM</v>
      </c>
      <c r="D23" s="129" t="str">
        <f ca="1">IF(OFFSET(PO!O$12,ROW(D23)-ROW(D$12),0)=0,"",OFFSET(PO!O$12,ROW(D23)-ROW(D$12),0))</f>
        <v>UNIDADE</v>
      </c>
      <c r="E23" s="165">
        <f ca="1">IF($A23&lt;&gt;"Serviço",0,ROUND(SUMIF($F$9:$P$9,"&lt;&gt;",$F23:$P23),15-13*PO!$X$3))</f>
        <v>1</v>
      </c>
      <c r="F23" s="215">
        <v>1</v>
      </c>
      <c r="G23" s="215"/>
      <c r="H23" s="215"/>
      <c r="I23" s="215"/>
      <c r="J23" s="215"/>
      <c r="K23" s="215"/>
      <c r="L23" s="215"/>
      <c r="M23" s="215"/>
      <c r="N23" s="215"/>
      <c r="O23" s="215"/>
      <c r="U23" s="215"/>
    </row>
    <row r="24" spans="1:21" s="4" customFormat="1" ht="25.5" x14ac:dyDescent="0.2">
      <c r="A24" s="128" t="str">
        <f ca="1">OFFSET(PO!J$12,ROW(A24)-ROW($A$12),0)</f>
        <v>Serviço</v>
      </c>
      <c r="B24" s="130" t="str">
        <f ca="1">IF($A24=0,"",OFFSET(PO!K$12,ROW(B24)-ROW(B$12),0))</f>
        <v>4.3.</v>
      </c>
      <c r="C24" s="127" t="str">
        <f ca="1">IF(OFFSET(PO!N$12,ROW(C24)-ROW(C$12),0)=0,"",OFFSET(PO!N$12,ROW(C24)-ROW(C$12),0))</f>
        <v>SINALIZAÇÃO VERTICAL, PLACA TIPO R-19f (60KM/H) COMPLETA COM POSTE METÁLICO 2" H= 3,50M L=50 CM</v>
      </c>
      <c r="D24" s="129" t="str">
        <f ca="1">IF(OFFSET(PO!O$12,ROW(D24)-ROW(D$12),0)=0,"",OFFSET(PO!O$12,ROW(D24)-ROW(D$12),0))</f>
        <v>UNIDADE</v>
      </c>
      <c r="E24" s="165">
        <f ca="1">IF($A24&lt;&gt;"Serviço",0,ROUND(SUMIF($F$9:$P$9,"&lt;&gt;",$F24:$P24),15-13*PO!$X$3))</f>
        <v>1</v>
      </c>
      <c r="F24" s="215">
        <v>1</v>
      </c>
      <c r="G24" s="215"/>
      <c r="H24" s="215"/>
      <c r="I24" s="215"/>
      <c r="J24" s="215"/>
      <c r="K24" s="215"/>
      <c r="L24" s="215"/>
      <c r="M24" s="215"/>
      <c r="N24" s="215"/>
      <c r="O24" s="215"/>
      <c r="U24" s="215"/>
    </row>
    <row r="25" spans="1:21" s="4" customFormat="1" x14ac:dyDescent="0.2">
      <c r="A25" s="83"/>
      <c r="B25" s="83"/>
      <c r="C25" s="83"/>
      <c r="D25" s="83"/>
      <c r="E25" s="83"/>
      <c r="F25" s="83"/>
      <c r="G25" s="83"/>
      <c r="H25" s="83"/>
      <c r="I25" s="83"/>
      <c r="J25" s="83"/>
      <c r="K25" s="83"/>
      <c r="L25" s="83"/>
      <c r="M25" s="83"/>
      <c r="N25" s="83"/>
      <c r="O25" s="83"/>
      <c r="U25" s="83"/>
    </row>
    <row r="26" spans="1:21" s="4" customFormat="1" x14ac:dyDescent="0.2">
      <c r="B26" s="9"/>
      <c r="C26" s="14"/>
      <c r="D26" s="9"/>
      <c r="E26" s="16"/>
      <c r="F26" s="16"/>
      <c r="G26" s="16"/>
      <c r="H26" s="16"/>
      <c r="I26" s="16"/>
      <c r="J26" s="16"/>
      <c r="K26" s="16"/>
      <c r="L26" s="16"/>
      <c r="M26" s="16"/>
      <c r="N26" s="16"/>
      <c r="O26" s="16"/>
      <c r="U26" s="16"/>
    </row>
    <row r="27" spans="1:21" s="4" customFormat="1" x14ac:dyDescent="0.2">
      <c r="B27" s="371" t="str">
        <f>PO!$K$36</f>
        <v>UBIRETAMA/RS</v>
      </c>
      <c r="C27" s="371"/>
      <c r="D27" s="9"/>
      <c r="E27" s="16"/>
      <c r="F27" s="16"/>
      <c r="G27" s="16"/>
      <c r="H27" s="16"/>
      <c r="I27" s="16"/>
      <c r="J27" s="16"/>
      <c r="K27" s="16"/>
      <c r="L27" s="16"/>
      <c r="M27" s="16"/>
      <c r="N27" s="16"/>
      <c r="O27" s="16"/>
      <c r="U27" s="16"/>
    </row>
    <row r="28" spans="1:21" s="4" customFormat="1" x14ac:dyDescent="0.2">
      <c r="B28" s="113" t="s">
        <v>120</v>
      </c>
      <c r="C28" s="14"/>
      <c r="D28" s="9"/>
      <c r="E28" s="16"/>
      <c r="F28" s="16"/>
      <c r="G28" s="16"/>
      <c r="H28" s="16"/>
      <c r="I28" s="16"/>
      <c r="J28" s="16"/>
      <c r="K28" s="16"/>
      <c r="L28" s="16"/>
      <c r="M28" s="16"/>
      <c r="N28" s="16"/>
      <c r="O28" s="16"/>
      <c r="U28" s="16"/>
    </row>
    <row r="29" spans="1:21" s="4" customFormat="1" x14ac:dyDescent="0.2">
      <c r="B29" s="14"/>
      <c r="C29" s="14"/>
      <c r="D29" s="9"/>
      <c r="E29" s="16"/>
      <c r="F29" s="16"/>
      <c r="G29" s="16"/>
      <c r="H29" s="16"/>
      <c r="I29" s="16"/>
      <c r="J29" s="16"/>
      <c r="K29" s="16"/>
      <c r="L29" s="16"/>
      <c r="M29" s="16"/>
      <c r="N29" s="16"/>
      <c r="O29" s="16"/>
      <c r="U29" s="16"/>
    </row>
    <row r="30" spans="1:21" s="4" customFormat="1" x14ac:dyDescent="0.2">
      <c r="B30" s="372">
        <f ca="1">PO!$K$39</f>
        <v>45374</v>
      </c>
      <c r="C30" s="372"/>
      <c r="D30" s="9"/>
      <c r="E30" s="16"/>
      <c r="F30" s="16"/>
      <c r="G30" s="16"/>
      <c r="H30" s="16"/>
      <c r="I30" s="16"/>
      <c r="J30" s="16"/>
      <c r="K30" s="16"/>
      <c r="L30" s="16"/>
      <c r="M30" s="16"/>
      <c r="N30" s="16"/>
      <c r="O30" s="16"/>
      <c r="U30" s="16"/>
    </row>
    <row r="31" spans="1:21" s="4" customFormat="1" x14ac:dyDescent="0.2">
      <c r="B31" s="142" t="s">
        <v>121</v>
      </c>
      <c r="C31" s="143"/>
      <c r="D31" s="9"/>
      <c r="E31" s="16"/>
      <c r="F31" s="16"/>
      <c r="G31" s="16"/>
      <c r="H31" s="16"/>
      <c r="I31" s="16"/>
      <c r="J31" s="16"/>
      <c r="K31" s="16"/>
      <c r="L31" s="16"/>
      <c r="M31" s="16"/>
      <c r="N31" s="16"/>
      <c r="O31" s="16"/>
      <c r="U31" s="16"/>
    </row>
  </sheetData>
  <sheetProtection password="C95B" sheet="1" objects="1" scenarios="1"/>
  <mergeCells count="2">
    <mergeCell ref="B27:C27"/>
    <mergeCell ref="B30:C30"/>
  </mergeCells>
  <phoneticPr fontId="25" type="noConversion"/>
  <conditionalFormatting sqref="D11:E11 D13:E24">
    <cfRule type="expression" dxfId="81" priority="690" stopIfTrue="1">
      <formula>$A11="Meta"</formula>
    </cfRule>
    <cfRule type="expression" dxfId="80" priority="691" stopIfTrue="1">
      <formula>$A11&lt;&gt;"Serviço"</formula>
    </cfRule>
  </conditionalFormatting>
  <conditionalFormatting sqref="C11 C13:C24">
    <cfRule type="expression" dxfId="79" priority="692" stopIfTrue="1">
      <formula>$A11="Meta"</formula>
    </cfRule>
    <cfRule type="expression" dxfId="78" priority="693" stopIfTrue="1">
      <formula>$A11&lt;&gt;"Serviço"</formula>
    </cfRule>
  </conditionalFormatting>
  <conditionalFormatting sqref="A11:B11 A13:B24">
    <cfRule type="expression" dxfId="77" priority="694" stopIfTrue="1">
      <formula>$A11="Meta"</formula>
    </cfRule>
    <cfRule type="expression" dxfId="76" priority="695" stopIfTrue="1">
      <formula>LEFT($A11,5)="Nível"</formula>
    </cfRule>
    <cfRule type="expression" dxfId="75" priority="696" stopIfTrue="1">
      <formula>$A11=0</formula>
    </cfRule>
  </conditionalFormatting>
  <conditionalFormatting sqref="U11 U13:U24 F13:O24">
    <cfRule type="expression" dxfId="74" priority="706" stopIfTrue="1">
      <formula>$A11="Meta"</formula>
    </cfRule>
    <cfRule type="expression" dxfId="73" priority="707" stopIfTrue="1">
      <formula>OR(F$9=0,$A11&lt;&gt;"Serviço")</formula>
    </cfRule>
    <cfRule type="expression" dxfId="72" priority="708" stopIfTrue="1">
      <formula>TipoOrçamento="Licitado"</formula>
    </cfRule>
  </conditionalFormatting>
  <conditionalFormatting sqref="U9">
    <cfRule type="expression" dxfId="71" priority="128" stopIfTrue="1">
      <formula>AND(T9=0,U9=0)</formula>
    </cfRule>
    <cfRule type="expression" dxfId="70" priority="129" stopIfTrue="1">
      <formula>TipoOrçamento="Licitado"</formula>
    </cfRule>
  </conditionalFormatting>
  <conditionalFormatting sqref="F11:O11">
    <cfRule type="expression" dxfId="69" priority="88" stopIfTrue="1">
      <formula>$A11="Meta"</formula>
    </cfRule>
    <cfRule type="expression" dxfId="68" priority="89" stopIfTrue="1">
      <formula>OR(F$9=0,$A11&lt;&gt;"Serviço")</formula>
    </cfRule>
    <cfRule type="expression" dxfId="67" priority="90" stopIfTrue="1">
      <formula>TipoOrçamento="Licitado"</formula>
    </cfRule>
  </conditionalFormatting>
  <conditionalFormatting sqref="F9:O9">
    <cfRule type="expression" dxfId="66" priority="86" stopIfTrue="1">
      <formula>AND(E9=0,F9=0)</formula>
    </cfRule>
    <cfRule type="expression" dxfId="65" priority="87"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24 F14:O24">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30 B27"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0"/>
  <sheetViews>
    <sheetView showGridLines="0" topLeftCell="O1" zoomScaleNormal="100" zoomScaleSheetLayoutView="100" workbookViewId="0">
      <selection activeCell="W28" sqref="W28"/>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176</v>
      </c>
      <c r="B8" s="1"/>
      <c r="C8" s="1"/>
      <c r="D8" s="1"/>
      <c r="E8" s="1"/>
      <c r="F8" s="1"/>
      <c r="G8" s="1"/>
      <c r="H8" s="1"/>
      <c r="I8" s="1"/>
      <c r="J8" s="1"/>
      <c r="K8" s="1"/>
      <c r="L8" s="373" t="str">
        <f ca="1">IF(MAX($A$14:$A$31)&lt;&gt;MAX(PO!$V$12:$V$25),"ERRO: CRONOGRAMA DESATUALIZADO",IF(OR(COUNTIF($O$16:$X$16,"&gt;1")&gt;0,OFFSET($X$17,0,-1)&lt;&gt;$N$14),"ERRO: CRONOGRAMA NÃO FECHA EM 100%",""))</f>
        <v/>
      </c>
      <c r="M8" s="373"/>
      <c r="N8" s="160" t="str">
        <f>IF(TipoOrçamento="REPROGRAMADOAC","Qtde de Medições realizadas","")</f>
        <v/>
      </c>
      <c r="O8" s="178"/>
      <c r="P8" s="179"/>
      <c r="Q8" s="1"/>
      <c r="R8" s="1"/>
      <c r="S8" s="1"/>
      <c r="T8" s="1"/>
      <c r="U8" s="1"/>
      <c r="V8" s="1"/>
      <c r="W8" s="1"/>
      <c r="X8" s="1"/>
      <c r="AC8" s="1"/>
    </row>
    <row r="9" spans="1:29" s="41" customFormat="1" ht="14.1" customHeight="1" x14ac:dyDescent="0.2">
      <c r="A9" s="166">
        <v>4</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00/01/00</v>
      </c>
      <c r="P10" s="219" t="str">
        <f ca="1">IF(AND(TipoOrçamento="REPROGRAMADOAC",$N$9&gt;0,N10="Valores Totais (R$)"),"Parcela "&amp;$N$9&amp;" Executado","Parcela "&amp;P$9&amp;CHAR(10)&amp;TEXT(DATE(YEAR(DADOS!$A$48),MONTH(DADOS!$A$48)+P$9-IF(AND(TipoOrçamento="REPROGRAMADOAC",$N$9&gt;0),$N$9,0),1),"mmm/aa"))</f>
        <v>Parcela 1
fev/00</v>
      </c>
      <c r="Q10" s="210" t="str">
        <f ca="1">IF(AND(TipoOrçamento="REPROGRAMADOAC",$N$9&gt;0,O10="Valores Totais (R$)"),"Parcela "&amp;$N$9&amp;" Executado","Parcela "&amp;Q$9&amp;CHAR(10)&amp;TEXT(DATE(YEAR(DADOS!$A$48),MONTH(DADOS!$A$48)+Q$9-IF(AND(TipoOrçamento="REPROGRAMADOAC",$N$9&gt;0),$N$9,0),1),"mmm/aa"))</f>
        <v>Parcela 2
mar/00</v>
      </c>
      <c r="R10" s="210" t="str">
        <f ca="1">IF(AND(TipoOrçamento="REPROGRAMADOAC",$N$9&gt;0,P10="Valores Totais (R$)"),"Parcela "&amp;$N$9&amp;" Executado","Parcela "&amp;R$9&amp;CHAR(10)&amp;TEXT(DATE(YEAR(DADOS!$A$48),MONTH(DADOS!$A$48)+R$9-IF(AND(TipoOrçamento="REPROGRAMADOAC",$N$9&gt;0),$N$9,0),1),"mmm/aa"))</f>
        <v>Parcela 3
abr/00</v>
      </c>
      <c r="S10" s="210" t="str">
        <f ca="1">IF(AND(TipoOrçamento="REPROGRAMADOAC",$N$9&gt;0,Q10="Valores Totais (R$)"),"Parcela "&amp;$N$9&amp;" Executado","Parcela "&amp;S$9&amp;CHAR(10)&amp;TEXT(DATE(YEAR(DADOS!$A$48),MONTH(DADOS!$A$48)+S$9-IF(AND(TipoOrçamento="REPROGRAMADOAC",$N$9&gt;0),$N$9,0),1),"mmm/aa"))</f>
        <v>Parcela 4
mai/00</v>
      </c>
      <c r="T10" s="210" t="str">
        <f ca="1">IF(AND(TipoOrçamento="REPROGRAMADOAC",$N$9&gt;0,R10="Valores Totais (R$)"),"Parcela "&amp;$N$9&amp;" Executado","Parcela "&amp;T$9&amp;CHAR(10)&amp;TEXT(DATE(YEAR(DADOS!$A$48),MONTH(DADOS!$A$48)+T$9-IF(AND(TipoOrçamento="REPROGRAMADOAC",$N$9&gt;0),$N$9,0),1),"mmm/aa"))</f>
        <v>Parcela 5
jun/00</v>
      </c>
      <c r="U10" s="210" t="str">
        <f ca="1">IF(AND(TipoOrçamento="REPROGRAMADOAC",$N$9&gt;0,S10="Valores Totais (R$)"),"Parcela "&amp;$N$9&amp;" Executado","Parcela "&amp;U$9&amp;CHAR(10)&amp;TEXT(DATE(YEAR(DADOS!$A$48),MONTH(DADOS!$A$48)+U$9-IF(AND(TipoOrçamento="REPROGRAMADOAC",$N$9&gt;0),$N$9,0),1),"mmm/aa"))</f>
        <v>Parcela 6
jul/00</v>
      </c>
      <c r="V10" s="210" t="str">
        <f ca="1">IF(AND(TipoOrçamento="REPROGRAMADOAC",$N$9&gt;0,T10="Valores Totais (R$)"),"Parcela "&amp;$N$9&amp;" Executado","Parcela "&amp;V$9&amp;CHAR(10)&amp;TEXT(DATE(YEAR(DADOS!$A$48),MONTH(DADOS!$A$48)+V$9-IF(AND(TipoOrçamento="REPROGRAMADOAC",$N$9&gt;0),$N$9,0),1),"mmm/aa"))</f>
        <v>Parcela 7
ago/00</v>
      </c>
      <c r="W10" s="222" t="str">
        <f ca="1">IF(AND(TipoOrçamento="REPROGRAMADOAC",$N$9&gt;0,U10="Valores Totais (R$)"),"Parcela "&amp;$N$9&amp;" Executado","Parcela "&amp;W$9&amp;CHAR(10)&amp;TEXT(DATE(YEAR(DADOS!$A$48),MONTH(DADOS!$A$48)+W$9-IF(AND(TipoOrçamento="REPROGRAMADOAC",$N$9&gt;0),$N$9,0),1),"mmm/aa"))</f>
        <v>Parcela 8
set/00</v>
      </c>
      <c r="X10" s="195"/>
      <c r="AC10" s="210" t="str">
        <f ca="1">IF(AND(TipoOrçamento="REPROGRAMADOAC",$N$9&gt;0,AA10="Valores Totais (R$)"),"Parcela "&amp;$N$9&amp;" Executado","Parcela "&amp;AC$9&amp;CHAR(10)&amp;TEXT(DATE(YEAR(DADOS!$A$48),MONTH(DADOS!$A$48)+AC$9-IF(AND(TipoOrçamento="REPROGRAMADOAC",$N$9&gt;0),$N$9,0),1),"mmm/aa"))</f>
        <v>Parcela 1
fev/00</v>
      </c>
    </row>
    <row r="11" spans="1:29" customFormat="1" ht="14.25" hidden="1" customHeight="1" x14ac:dyDescent="0.2">
      <c r="A11" s="82"/>
      <c r="B11" s="82"/>
      <c r="C11" s="82"/>
      <c r="D11" s="82"/>
      <c r="E11" s="82"/>
      <c r="F11" s="82"/>
      <c r="G11" s="82"/>
      <c r="H11" s="82"/>
      <c r="I11" s="82"/>
      <c r="J11" s="82"/>
      <c r="K11" s="82"/>
      <c r="L11" s="383" t="e">
        <f ca="1">INDEX(PO!K$12:K$25,MATCH($A13,PO!$V$12:$V$25,0))</f>
        <v>#VALUE!</v>
      </c>
      <c r="M11" s="376" t="e">
        <f ca="1">INDEX(PO!N$12:N$25,MATCH($A13,PO!$V$12:$V$25,0))</f>
        <v>#VALUE!</v>
      </c>
      <c r="N11" s="374" t="e">
        <f ca="1">IF(ROUND(K13,2)=0,K13,ROUND(K13,2))</f>
        <v>#VALUE!</v>
      </c>
      <c r="O11" s="220" t="s">
        <v>143</v>
      </c>
      <c r="P11" s="226" t="e">
        <f ca="1">IF($B13,0,P12-IF(ISNUMBER(O12),O12,0))</f>
        <v>#VALUE!</v>
      </c>
      <c r="Q11" s="227" t="e">
        <f t="shared" ref="Q11:W11" ca="1" si="1">IF($B13,0,Q12-IF(ISNUMBER(P12),P12,0))</f>
        <v>#VALUE!</v>
      </c>
      <c r="R11" s="227" t="e">
        <f t="shared" ca="1" si="1"/>
        <v>#VALUE!</v>
      </c>
      <c r="S11" s="227" t="e">
        <f t="shared" ca="1" si="1"/>
        <v>#VALUE!</v>
      </c>
      <c r="T11" s="227" t="e">
        <f t="shared" ca="1" si="1"/>
        <v>#VALUE!</v>
      </c>
      <c r="U11" s="227" t="e">
        <f t="shared" ca="1" si="1"/>
        <v>#VALUE!</v>
      </c>
      <c r="V11" s="227" t="e">
        <f t="shared" ca="1" si="1"/>
        <v>#VALUE!</v>
      </c>
      <c r="W11" s="228"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84"/>
      <c r="M12" s="377"/>
      <c r="N12" s="375"/>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INDEX(PO!A$12:A$25,MATCH($A13,PO!$V$12:$V$25,0))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MATCH(0,OFFSET($D13,1,$C13,ROW($A$30)-ROW($A13)),0)</f>
        <v>#VALUE!</v>
      </c>
      <c r="J13" s="184" t="e">
        <f ca="1">MATCH(OFFSET($D13,0,$C13)+1,OFFSET($D13,1,$C13,ROW($A$30)-ROW($A13)),0)</f>
        <v>#VALUE!</v>
      </c>
      <c r="K13" s="185" t="e">
        <f ca="1">ROUND(INDEX(PO!T$12:T$25,MATCH($A13,PO!$V$12:$V$25,0)),2)+10^-12</f>
        <v>#VALUE!</v>
      </c>
      <c r="L13" s="384"/>
      <c r="M13" s="377"/>
      <c r="N13" s="375"/>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5" t="s">
        <v>19</v>
      </c>
      <c r="M14" s="386"/>
      <c r="N14" s="391">
        <f ca="1">IF(PO!$T$12=0,10^-12,PO!$T$12)</f>
        <v>403034.63</v>
      </c>
      <c r="O14" s="167" t="s">
        <v>143</v>
      </c>
      <c r="P14" s="205">
        <f ca="1">ROUND(P15/$N14,4)</f>
        <v>0.125</v>
      </c>
      <c r="Q14" s="206">
        <f t="shared" ref="Q14:W14" ca="1" si="4">ROUND(Q15/$N14,4)</f>
        <v>0.125</v>
      </c>
      <c r="R14" s="206">
        <f t="shared" ca="1" si="4"/>
        <v>0.125</v>
      </c>
      <c r="S14" s="206">
        <f t="shared" ca="1" si="4"/>
        <v>0.125</v>
      </c>
      <c r="T14" s="206">
        <f t="shared" ca="1" si="4"/>
        <v>0.125</v>
      </c>
      <c r="U14" s="206">
        <f t="shared" ca="1" si="4"/>
        <v>0.125</v>
      </c>
      <c r="V14" s="206">
        <f t="shared" ca="1" si="4"/>
        <v>0.125</v>
      </c>
      <c r="W14" s="206">
        <f t="shared" ca="1" si="4"/>
        <v>0.125</v>
      </c>
      <c r="X14" s="171"/>
      <c r="AC14" s="206">
        <f ca="1">ROUND(AC15/$N14,4)</f>
        <v>0</v>
      </c>
    </row>
    <row r="15" spans="1:29" s="44" customFormat="1" ht="12.75" customHeight="1" x14ac:dyDescent="0.2">
      <c r="A15" s="1"/>
      <c r="B15" s="1"/>
      <c r="C15" s="1"/>
      <c r="D15" s="1"/>
      <c r="E15" s="1"/>
      <c r="F15" s="1"/>
      <c r="G15" s="1"/>
      <c r="H15" s="1"/>
      <c r="I15" s="1"/>
      <c r="J15" s="1"/>
      <c r="K15" s="1"/>
      <c r="L15" s="387"/>
      <c r="M15" s="388"/>
      <c r="N15" s="392"/>
      <c r="O15" s="156" t="s">
        <v>144</v>
      </c>
      <c r="P15" s="200">
        <f ca="1">P17-IF(ISNUMBER(O17),O17,0)</f>
        <v>50379.33</v>
      </c>
      <c r="Q15" s="150">
        <f t="shared" ref="Q15:W15" ca="1" si="5">Q17-IF(ISNUMBER(P17),P17,0)</f>
        <v>50379.330000000016</v>
      </c>
      <c r="R15" s="150">
        <f t="shared" ca="1" si="5"/>
        <v>50379.329999999973</v>
      </c>
      <c r="S15" s="150">
        <f t="shared" ca="1" si="5"/>
        <v>50379.330000000016</v>
      </c>
      <c r="T15" s="150">
        <f t="shared" ca="1" si="5"/>
        <v>50379.320000000007</v>
      </c>
      <c r="U15" s="150">
        <f t="shared" ca="1" si="5"/>
        <v>50379.339999999967</v>
      </c>
      <c r="V15" s="150">
        <f t="shared" ca="1" si="5"/>
        <v>50379.319999999949</v>
      </c>
      <c r="W15" s="150">
        <f t="shared" ca="1" si="5"/>
        <v>50379.330000000075</v>
      </c>
      <c r="X15" s="171"/>
      <c r="AC15" s="150">
        <f ca="1">AC17-IF(ISNUMBER(AB17),AB17,0)</f>
        <v>0</v>
      </c>
    </row>
    <row r="16" spans="1:29" s="44" customFormat="1" ht="12.75" customHeight="1" x14ac:dyDescent="0.2">
      <c r="A16" s="1"/>
      <c r="B16" s="1"/>
      <c r="C16" s="1"/>
      <c r="D16" s="1"/>
      <c r="E16" s="1"/>
      <c r="F16" s="1"/>
      <c r="G16" s="1"/>
      <c r="H16" s="1"/>
      <c r="I16" s="1"/>
      <c r="J16" s="1"/>
      <c r="K16" s="1"/>
      <c r="L16" s="387"/>
      <c r="M16" s="388"/>
      <c r="N16" s="392"/>
      <c r="O16" s="157" t="s">
        <v>145</v>
      </c>
      <c r="P16" s="201">
        <f ca="1">ROUND(P17/$N14,4)</f>
        <v>0.125</v>
      </c>
      <c r="Q16" s="151">
        <f t="shared" ref="Q16:W16" ca="1" si="6">ROUND(Q17/$N14,4)</f>
        <v>0.25</v>
      </c>
      <c r="R16" s="151">
        <f t="shared" ca="1" si="6"/>
        <v>0.375</v>
      </c>
      <c r="S16" s="151">
        <f t="shared" ca="1" si="6"/>
        <v>0.5</v>
      </c>
      <c r="T16" s="151">
        <f t="shared" ca="1" si="6"/>
        <v>0.625</v>
      </c>
      <c r="U16" s="151">
        <f t="shared" ca="1" si="6"/>
        <v>0.75</v>
      </c>
      <c r="V16" s="151">
        <f t="shared" ca="1" si="6"/>
        <v>0.875</v>
      </c>
      <c r="W16" s="151">
        <f t="shared" ca="1" si="6"/>
        <v>1</v>
      </c>
      <c r="X16" s="171"/>
      <c r="AC16" s="151">
        <f ca="1">ROUND(AC17/$N14,4)</f>
        <v>0</v>
      </c>
    </row>
    <row r="17" spans="1:29" s="44" customFormat="1" ht="12.75" customHeight="1" x14ac:dyDescent="0.2">
      <c r="A17" s="114">
        <v>0</v>
      </c>
      <c r="B17" s="1"/>
      <c r="C17" s="1"/>
      <c r="D17" s="114">
        <f>ROW(D$30)-ROW(D18)</f>
        <v>12</v>
      </c>
      <c r="E17" s="1"/>
      <c r="F17" s="1"/>
      <c r="G17" s="1"/>
      <c r="H17" s="1"/>
      <c r="I17" s="1"/>
      <c r="J17" s="1"/>
      <c r="K17" s="1"/>
      <c r="L17" s="389"/>
      <c r="M17" s="390"/>
      <c r="N17" s="393"/>
      <c r="O17" s="158" t="s">
        <v>20</v>
      </c>
      <c r="P17" s="202">
        <f ca="1">SUMIF(OFFSET($C17,1,0):$C$30,1,OFFSET(P17,1,0):P$30)</f>
        <v>50379.33</v>
      </c>
      <c r="Q17" s="152">
        <f ca="1">SUMIF(OFFSET($C17,1,0):$C$30,1,OFFSET(Q17,1,0):Q$30)</f>
        <v>100758.66000000002</v>
      </c>
      <c r="R17" s="152">
        <f ca="1">SUMIF(OFFSET($C17,1,0):$C$30,1,OFFSET(R17,1,0):R$30)</f>
        <v>151137.99</v>
      </c>
      <c r="S17" s="152">
        <f ca="1">SUMIF(OFFSET($C17,1,0):$C$30,1,OFFSET(S17,1,0):S$30)</f>
        <v>201517.32</v>
      </c>
      <c r="T17" s="152">
        <f ca="1">SUMIF(OFFSET($C17,1,0):$C$30,1,OFFSET(T17,1,0):T$30)</f>
        <v>251896.64</v>
      </c>
      <c r="U17" s="152">
        <f ca="1">SUMIF(OFFSET($C17,1,0):$C$30,1,OFFSET(U17,1,0):U$30)</f>
        <v>302275.98</v>
      </c>
      <c r="V17" s="152">
        <f ca="1">SUMIF(OFFSET($C17,1,0):$C$30,1,OFFSET(V17,1,0):V$30)</f>
        <v>352655.29999999993</v>
      </c>
      <c r="W17" s="152">
        <f ca="1">SUMIF(OFFSET($C17,1,0):$C$30,1,OFFSET(W17,1,0):W$30)</f>
        <v>403034.63</v>
      </c>
      <c r="X17" s="171"/>
      <c r="AC17" s="152">
        <f ca="1">SUMIF(OFFSET($C17,1,0):$C$30,1,OFFSET(AC17,1,0):AC$30)</f>
        <v>0</v>
      </c>
    </row>
    <row r="18" spans="1:29" customFormat="1" ht="14.25" customHeight="1" x14ac:dyDescent="0.2">
      <c r="A18" s="1"/>
      <c r="B18" s="1"/>
      <c r="C18" s="1"/>
      <c r="D18" s="1"/>
      <c r="E18" s="1"/>
      <c r="F18" s="1"/>
      <c r="G18" s="1"/>
      <c r="H18" s="1"/>
      <c r="I18" s="1"/>
      <c r="J18" s="1"/>
      <c r="K18" s="1"/>
      <c r="L18" s="383" t="str">
        <f ca="1">INDEX(PO!K$12:K$25,MATCH($A20,PO!$V$12:$V$25,0))</f>
        <v>1.</v>
      </c>
      <c r="M18" s="376" t="str">
        <f ca="1">INDEX(PO!N$12:N$25,MATCH($A20,PO!$V$12:$V$25,0))</f>
        <v>SERVIÇOS INICIAIS</v>
      </c>
      <c r="N18" s="374">
        <f ca="1">IF(ROUND(K20,2)=0,K20,ROUND(K20,2))</f>
        <v>26313.06</v>
      </c>
      <c r="O18" s="203" t="s">
        <v>143</v>
      </c>
      <c r="P18" s="226">
        <v>0.125</v>
      </c>
      <c r="Q18" s="227">
        <v>0.125</v>
      </c>
      <c r="R18" s="227">
        <v>0.125</v>
      </c>
      <c r="S18" s="227">
        <v>0.125</v>
      </c>
      <c r="T18" s="227">
        <v>0.125</v>
      </c>
      <c r="U18" s="227">
        <v>0.125</v>
      </c>
      <c r="V18" s="227">
        <v>0.125</v>
      </c>
      <c r="W18" s="228">
        <v>0.125</v>
      </c>
      <c r="X18" s="197" t="s">
        <v>106</v>
      </c>
      <c r="AC18" s="221">
        <f ca="1">IF($B20,0,AC19-IF(ISNUMBER(AB19),AB19,0))</f>
        <v>0</v>
      </c>
    </row>
    <row r="19" spans="1:29" customFormat="1" ht="14.25" x14ac:dyDescent="0.2">
      <c r="A19" s="1"/>
      <c r="B19" s="1"/>
      <c r="C19" s="1"/>
      <c r="D19" s="1"/>
      <c r="E19" s="1"/>
      <c r="F19" s="1"/>
      <c r="G19" s="1"/>
      <c r="H19" s="1"/>
      <c r="I19" s="1"/>
      <c r="J19" s="1"/>
      <c r="K19" s="1"/>
      <c r="L19" s="384"/>
      <c r="M19" s="377"/>
      <c r="N19" s="375"/>
      <c r="O19" s="170" t="s">
        <v>145</v>
      </c>
      <c r="P19" s="198">
        <f t="shared" ref="P19:W19" ca="1" si="7">MIN(IF($B20,P18+IF(ISNUMBER(O19),O19,0),P20/$N18),1)</f>
        <v>0.125</v>
      </c>
      <c r="Q19" s="168">
        <f t="shared" ca="1" si="7"/>
        <v>0.25</v>
      </c>
      <c r="R19" s="168">
        <f t="shared" ca="1" si="7"/>
        <v>0.375</v>
      </c>
      <c r="S19" s="168">
        <f t="shared" ca="1" si="7"/>
        <v>0.5</v>
      </c>
      <c r="T19" s="168">
        <f t="shared" ca="1" si="7"/>
        <v>0.625</v>
      </c>
      <c r="U19" s="168">
        <f t="shared" ca="1" si="7"/>
        <v>0.75</v>
      </c>
      <c r="V19" s="168">
        <f t="shared" ca="1" si="7"/>
        <v>0.875</v>
      </c>
      <c r="W19" s="168">
        <f t="shared" ca="1" si="7"/>
        <v>1</v>
      </c>
      <c r="X19" s="196"/>
      <c r="AC19" s="168">
        <f ca="1">MIN(IF($B20,AC18+IF(ISNUMBER(AB19),AB19,0),AC20/$N18),1)</f>
        <v>0</v>
      </c>
    </row>
    <row r="20" spans="1:29" customFormat="1" ht="14.25" x14ac:dyDescent="0.2">
      <c r="A20" s="114">
        <f ca="1">OFFSET(A20,-CFF.NumLinha,0)+1</f>
        <v>1</v>
      </c>
      <c r="B20" s="1" t="b">
        <f ca="1">$C20&gt;=OFFSET($C20,CFF.NumLinha,0)</f>
        <v>1</v>
      </c>
      <c r="C20" s="184">
        <f ca="1">INDEX(PO!A$12:A$25,MATCH($A20,PO!$V$12:$V$25,0))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MATCH(0,OFFSET($D20,1,$C20,ROW($A$30)-ROW($A20)),0)</f>
        <v>10</v>
      </c>
      <c r="J20" s="184">
        <f ca="1">MATCH(OFFSET($D20,0,$C20)+1,OFFSET($D20,1,$C20,ROW($A$30)-ROW($A20)),0)</f>
        <v>3</v>
      </c>
      <c r="K20" s="185">
        <f ca="1">ROUND(INDEX(PO!T$12:T$25,MATCH($A20,PO!$V$12:$V$25,0)),2)+10^-12</f>
        <v>26313.06</v>
      </c>
      <c r="L20" s="384"/>
      <c r="M20" s="377"/>
      <c r="N20" s="375"/>
      <c r="O20" s="204" t="s">
        <v>20</v>
      </c>
      <c r="P20" s="199">
        <f t="shared" ref="P20:W20" ca="1" si="8">IF($B20,ROUND(P19*$N18,2),ROUND(SUMIF(OFFSET($B20,1,0,$D20),TRUE,OFFSET(P20,1,0,$D20))/SUMIF(OFFSET($B20,1,0,$D20),TRUE,OFFSET($K20,1,0,$D20))*$N18,2))</f>
        <v>3289.13</v>
      </c>
      <c r="Q20" s="169">
        <f t="shared" ca="1" si="8"/>
        <v>6578.27</v>
      </c>
      <c r="R20" s="169">
        <f t="shared" ca="1" si="8"/>
        <v>9867.4</v>
      </c>
      <c r="S20" s="169">
        <f t="shared" ca="1" si="8"/>
        <v>13156.53</v>
      </c>
      <c r="T20" s="169">
        <f t="shared" ca="1" si="8"/>
        <v>16445.66</v>
      </c>
      <c r="U20" s="169">
        <f t="shared" ca="1" si="8"/>
        <v>19734.8</v>
      </c>
      <c r="V20" s="169">
        <f t="shared" ca="1" si="8"/>
        <v>23023.93</v>
      </c>
      <c r="W20" s="207">
        <f t="shared" ca="1" si="8"/>
        <v>26313.06</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83" t="str">
        <f ca="1">INDEX(PO!K$12:K$25,MATCH($A23,PO!$V$12:$V$25,0))</f>
        <v>2.</v>
      </c>
      <c r="M21" s="376" t="str">
        <f ca="1">INDEX(PO!N$12:N$25,MATCH($A23,PO!$V$12:$V$25,0))</f>
        <v>PAVIMENTAÇÃO</v>
      </c>
      <c r="N21" s="374">
        <f t="shared" ref="N21" ca="1" si="9">IF(ROUND(K23,2)=0,K23,ROUND(K23,2))</f>
        <v>274164</v>
      </c>
      <c r="O21" s="220" t="s">
        <v>143</v>
      </c>
      <c r="P21" s="226">
        <v>0.125</v>
      </c>
      <c r="Q21" s="227">
        <v>0.125</v>
      </c>
      <c r="R21" s="227">
        <v>0.125</v>
      </c>
      <c r="S21" s="227">
        <v>0.125</v>
      </c>
      <c r="T21" s="227">
        <v>0.125</v>
      </c>
      <c r="U21" s="227">
        <v>0.125</v>
      </c>
      <c r="V21" s="227">
        <v>0.125</v>
      </c>
      <c r="W21" s="228">
        <v>0.125</v>
      </c>
      <c r="X21" s="196"/>
      <c r="AC21" s="221">
        <f t="shared" ref="AC21" ca="1" si="10">IF($B23,0,AC22-IF(ISNUMBER(AB22),AB22,0))</f>
        <v>0</v>
      </c>
    </row>
    <row r="22" spans="1:29" customFormat="1" ht="14.25" x14ac:dyDescent="0.2">
      <c r="A22" s="184"/>
      <c r="B22" s="184"/>
      <c r="C22" s="184"/>
      <c r="D22" s="184"/>
      <c r="E22" s="184"/>
      <c r="F22" s="184"/>
      <c r="G22" s="184"/>
      <c r="H22" s="184"/>
      <c r="I22" s="184"/>
      <c r="J22" s="184"/>
      <c r="K22" s="184"/>
      <c r="L22" s="384"/>
      <c r="M22" s="377"/>
      <c r="N22" s="375"/>
      <c r="O22" s="170" t="s">
        <v>145</v>
      </c>
      <c r="P22" s="198">
        <f t="shared" ref="P22" ca="1" si="11">MIN(IF($B23,P21+IF(ISNUMBER(O22),O22,0),P23/$N21),1)</f>
        <v>0.125</v>
      </c>
      <c r="Q22" s="168">
        <f t="shared" ref="Q22" ca="1" si="12">MIN(IF($B23,Q21+IF(ISNUMBER(P22),P22,0),Q23/$N21),1)</f>
        <v>0.25</v>
      </c>
      <c r="R22" s="168">
        <f t="shared" ref="R22" ca="1" si="13">MIN(IF($B23,R21+IF(ISNUMBER(Q22),Q22,0),R23/$N21),1)</f>
        <v>0.375</v>
      </c>
      <c r="S22" s="168">
        <f t="shared" ref="S22" ca="1" si="14">MIN(IF($B23,S21+IF(ISNUMBER(R22),R22,0),S23/$N21),1)</f>
        <v>0.5</v>
      </c>
      <c r="T22" s="168">
        <f t="shared" ref="T22" ca="1" si="15">MIN(IF($B23,T21+IF(ISNUMBER(S22),S22,0),T23/$N21),1)</f>
        <v>0.625</v>
      </c>
      <c r="U22" s="168">
        <f t="shared" ref="U22" ca="1" si="16">MIN(IF($B23,U21+IF(ISNUMBER(T22),T22,0),U23/$N21),1)</f>
        <v>0.75</v>
      </c>
      <c r="V22" s="168">
        <f t="shared" ref="V22" ca="1" si="17">MIN(IF($B23,V21+IF(ISNUMBER(U22),U22,0),V23/$N21),1)</f>
        <v>0.875</v>
      </c>
      <c r="W22" s="168">
        <f t="shared" ref="W22" ca="1" si="18">MIN(IF($B23,W21+IF(ISNUMBER(V22),V22,0),W23/$N21),1)</f>
        <v>1</v>
      </c>
      <c r="X22" s="196"/>
      <c r="AC22" s="168">
        <f t="shared" ref="AC22" ca="1" si="19">MIN(IF($B23,AC21+IF(ISNUMBER(AB22),AB22,0),AC23/$N21),1)</f>
        <v>0</v>
      </c>
    </row>
    <row r="23" spans="1:29" customFormat="1" ht="14.25" x14ac:dyDescent="0.2">
      <c r="A23" s="184">
        <f ca="1">OFFSET(A23,-CFF.NumLinha,0)+1</f>
        <v>2</v>
      </c>
      <c r="B23" s="184" t="b">
        <f ca="1">$C23&gt;=OFFSET($C23,CFF.NumLinha,0)</f>
        <v>1</v>
      </c>
      <c r="C23" s="184">
        <f ca="1">INDEX(PO!A$12:A$25,MATCH($A23,PO!$V$12:$V$25,0))</f>
        <v>1</v>
      </c>
      <c r="D23" s="184">
        <f t="shared" ref="D23" ca="1" si="20">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t="shared" ref="I23" ca="1" si="21">MATCH(0,OFFSET($D23,1,$C23,ROW($A$30)-ROW($A23)),0)</f>
        <v>7</v>
      </c>
      <c r="J23" s="184">
        <f t="shared" ref="J23" ca="1" si="22">MATCH(OFFSET($D23,0,$C23)+1,OFFSET($D23,1,$C23,ROW($A$30)-ROW($A23)),0)</f>
        <v>3</v>
      </c>
      <c r="K23" s="185">
        <f ca="1">ROUND(INDEX(PO!T$12:T$25,MATCH($A23,PO!$V$12:$V$25,0)),2)+10^-12</f>
        <v>274164</v>
      </c>
      <c r="L23" s="384"/>
      <c r="M23" s="377"/>
      <c r="N23" s="375"/>
      <c r="O23" s="204" t="s">
        <v>20</v>
      </c>
      <c r="P23" s="199">
        <f t="shared" ref="P23:W23" ca="1" si="23">IF($B23,ROUND(P22*$N21,2),ROUND(SUMIF(OFFSET($B23,1,0,$D23),TRUE,OFFSET(P23,1,0,$D23))/SUMIF(OFFSET($B23,1,0,$D23),TRUE,OFFSET($K23,1,0,$D23))*$N21,2))</f>
        <v>34270.5</v>
      </c>
      <c r="Q23" s="169">
        <f t="shared" ca="1" si="23"/>
        <v>68541</v>
      </c>
      <c r="R23" s="169">
        <f t="shared" ca="1" si="23"/>
        <v>102811.5</v>
      </c>
      <c r="S23" s="169">
        <f t="shared" ca="1" si="23"/>
        <v>137082</v>
      </c>
      <c r="T23" s="169">
        <f t="shared" ca="1" si="23"/>
        <v>171352.5</v>
      </c>
      <c r="U23" s="169">
        <f t="shared" ca="1" si="23"/>
        <v>205623</v>
      </c>
      <c r="V23" s="169">
        <f t="shared" ca="1" si="23"/>
        <v>239893.5</v>
      </c>
      <c r="W23" s="207">
        <f t="shared" ca="1" si="23"/>
        <v>274164</v>
      </c>
      <c r="X23" s="196"/>
      <c r="AC23" s="169">
        <f t="shared" ref="AC23" ca="1" si="24">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83" t="str">
        <f ca="1">INDEX(PO!K$12:K$25,MATCH($A26,PO!$V$12:$V$25,0))</f>
        <v>3.</v>
      </c>
      <c r="M24" s="376" t="str">
        <f ca="1">INDEX(PO!N$12:N$25,MATCH($A26,PO!$V$12:$V$25,0))</f>
        <v>MEIO-FIO</v>
      </c>
      <c r="N24" s="374">
        <f t="shared" ref="N24" ca="1" si="25">IF(ROUND(K26,2)=0,K26,ROUND(K26,2))</f>
        <v>101853.6</v>
      </c>
      <c r="O24" s="220" t="s">
        <v>143</v>
      </c>
      <c r="P24" s="226">
        <v>0.125</v>
      </c>
      <c r="Q24" s="227">
        <v>0.125</v>
      </c>
      <c r="R24" s="227">
        <v>0.125</v>
      </c>
      <c r="S24" s="227">
        <v>0.125</v>
      </c>
      <c r="T24" s="227">
        <v>0.125</v>
      </c>
      <c r="U24" s="227">
        <v>0.125</v>
      </c>
      <c r="V24" s="227">
        <v>0.125</v>
      </c>
      <c r="W24" s="228">
        <v>0.125</v>
      </c>
      <c r="X24" s="196"/>
      <c r="AC24" s="221">
        <f t="shared" ref="AC24" ca="1" si="26">IF($B26,0,AC25-IF(ISNUMBER(AB25),AB25,0))</f>
        <v>0</v>
      </c>
    </row>
    <row r="25" spans="1:29" customFormat="1" ht="14.25" x14ac:dyDescent="0.2">
      <c r="A25" s="184"/>
      <c r="B25" s="184"/>
      <c r="C25" s="184"/>
      <c r="D25" s="184"/>
      <c r="E25" s="184"/>
      <c r="F25" s="184"/>
      <c r="G25" s="184"/>
      <c r="H25" s="184"/>
      <c r="I25" s="184"/>
      <c r="J25" s="184"/>
      <c r="K25" s="184"/>
      <c r="L25" s="384"/>
      <c r="M25" s="377"/>
      <c r="N25" s="375"/>
      <c r="O25" s="170" t="s">
        <v>145</v>
      </c>
      <c r="P25" s="198">
        <f t="shared" ref="P25" ca="1" si="27">MIN(IF($B26,P24+IF(ISNUMBER(O25),O25,0),P26/$N24),1)</f>
        <v>0.125</v>
      </c>
      <c r="Q25" s="168">
        <f t="shared" ref="Q25" ca="1" si="28">MIN(IF($B26,Q24+IF(ISNUMBER(P25),P25,0),Q26/$N24),1)</f>
        <v>0.25</v>
      </c>
      <c r="R25" s="168">
        <f t="shared" ref="R25" ca="1" si="29">MIN(IF($B26,R24+IF(ISNUMBER(Q25),Q25,0),R26/$N24),1)</f>
        <v>0.375</v>
      </c>
      <c r="S25" s="168">
        <f t="shared" ref="S25" ca="1" si="30">MIN(IF($B26,S24+IF(ISNUMBER(R25),R25,0),S26/$N24),1)</f>
        <v>0.5</v>
      </c>
      <c r="T25" s="168">
        <f t="shared" ref="T25" ca="1" si="31">MIN(IF($B26,T24+IF(ISNUMBER(S25),S25,0),T26/$N24),1)</f>
        <v>0.625</v>
      </c>
      <c r="U25" s="168">
        <f t="shared" ref="U25" ca="1" si="32">MIN(IF($B26,U24+IF(ISNUMBER(T25),T25,0),U26/$N24),1)</f>
        <v>0.75</v>
      </c>
      <c r="V25" s="168">
        <f t="shared" ref="V25" ca="1" si="33">MIN(IF($B26,V24+IF(ISNUMBER(U25),U25,0),V26/$N24),1)</f>
        <v>0.875</v>
      </c>
      <c r="W25" s="168">
        <f t="shared" ref="W25" ca="1" si="34">MIN(IF($B26,W24+IF(ISNUMBER(V25),V25,0),W26/$N24),1)</f>
        <v>1</v>
      </c>
      <c r="X25" s="196"/>
      <c r="AC25" s="168">
        <f t="shared" ref="AC25" ca="1" si="35">MIN(IF($B26,AC24+IF(ISNUMBER(AB25),AB25,0),AC26/$N24),1)</f>
        <v>0</v>
      </c>
    </row>
    <row r="26" spans="1:29" customFormat="1" ht="14.25" x14ac:dyDescent="0.2">
      <c r="A26" s="184">
        <f ca="1">OFFSET(A26,-CFF.NumLinha,0)+1</f>
        <v>3</v>
      </c>
      <c r="B26" s="184" t="b">
        <f ca="1">$C26&gt;=OFFSET($C26,CFF.NumLinha,0)</f>
        <v>1</v>
      </c>
      <c r="C26" s="184">
        <f ca="1">INDEX(PO!A$12:A$25,MATCH($A26,PO!$V$12:$V$25,0))</f>
        <v>1</v>
      </c>
      <c r="D26" s="184">
        <f t="shared" ref="D26" ca="1" si="36">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t="shared" ref="I26" ca="1" si="37">MATCH(0,OFFSET($D26,1,$C26,ROW($A$30)-ROW($A26)),0)</f>
        <v>4</v>
      </c>
      <c r="J26" s="184">
        <f t="shared" ref="J26" ca="1" si="38">MATCH(OFFSET($D26,0,$C26)+1,OFFSET($D26,1,$C26,ROW($A$30)-ROW($A26)),0)</f>
        <v>3</v>
      </c>
      <c r="K26" s="185">
        <f ca="1">ROUND(INDEX(PO!T$12:T$25,MATCH($A26,PO!$V$12:$V$25,0)),2)+10^-12</f>
        <v>101853.6</v>
      </c>
      <c r="L26" s="384"/>
      <c r="M26" s="377"/>
      <c r="N26" s="375"/>
      <c r="O26" s="204" t="s">
        <v>20</v>
      </c>
      <c r="P26" s="199">
        <f t="shared" ref="P26:W26" ca="1" si="39">IF($B26,ROUND(P25*$N24,2),ROUND(SUMIF(OFFSET($B26,1,0,$D26),TRUE,OFFSET(P26,1,0,$D26))/SUMIF(OFFSET($B26,1,0,$D26),TRUE,OFFSET($K26,1,0,$D26))*$N24,2))</f>
        <v>12731.7</v>
      </c>
      <c r="Q26" s="169">
        <f t="shared" ca="1" si="39"/>
        <v>25463.4</v>
      </c>
      <c r="R26" s="169">
        <f t="shared" ca="1" si="39"/>
        <v>38195.1</v>
      </c>
      <c r="S26" s="169">
        <f t="shared" ca="1" si="39"/>
        <v>50926.8</v>
      </c>
      <c r="T26" s="169">
        <f t="shared" ca="1" si="39"/>
        <v>63658.5</v>
      </c>
      <c r="U26" s="169">
        <f t="shared" ca="1" si="39"/>
        <v>76390.2</v>
      </c>
      <c r="V26" s="169">
        <f t="shared" ca="1" si="39"/>
        <v>89121.9</v>
      </c>
      <c r="W26" s="207">
        <f t="shared" ca="1" si="39"/>
        <v>101853.6</v>
      </c>
      <c r="X26" s="196"/>
      <c r="AC26" s="169">
        <f t="shared" ref="AC26" ca="1" si="40">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83" t="str">
        <f ca="1">INDEX(PO!K$12:K$25,MATCH($A29,PO!$V$12:$V$25,0))</f>
        <v>4.</v>
      </c>
      <c r="M27" s="376" t="str">
        <f ca="1">INDEX(PO!N$12:N$25,MATCH($A29,PO!$V$12:$V$25,0))</f>
        <v>SINALIZAÇÃO VERTICAL</v>
      </c>
      <c r="N27" s="374">
        <f t="shared" ref="N27" ca="1" si="41">IF(ROUND(K29,2)=0,K29,ROUND(K29,2))</f>
        <v>703.97</v>
      </c>
      <c r="O27" s="220" t="s">
        <v>143</v>
      </c>
      <c r="P27" s="226">
        <v>0.125</v>
      </c>
      <c r="Q27" s="227">
        <v>0.125</v>
      </c>
      <c r="R27" s="227">
        <v>0.125</v>
      </c>
      <c r="S27" s="227">
        <v>0.125</v>
      </c>
      <c r="T27" s="227">
        <v>0.125</v>
      </c>
      <c r="U27" s="227">
        <v>0.125</v>
      </c>
      <c r="V27" s="227">
        <v>0.125</v>
      </c>
      <c r="W27" s="228">
        <v>0.125</v>
      </c>
      <c r="X27" s="196"/>
      <c r="AC27" s="221">
        <f t="shared" ref="AC27" ca="1" si="42">IF($B29,0,AC28-IF(ISNUMBER(AB28),AB28,0))</f>
        <v>0</v>
      </c>
    </row>
    <row r="28" spans="1:29" customFormat="1" ht="14.25" x14ac:dyDescent="0.2">
      <c r="A28" s="184"/>
      <c r="B28" s="184"/>
      <c r="C28" s="184"/>
      <c r="D28" s="184"/>
      <c r="E28" s="184"/>
      <c r="F28" s="184"/>
      <c r="G28" s="184"/>
      <c r="H28" s="184"/>
      <c r="I28" s="184"/>
      <c r="J28" s="184"/>
      <c r="K28" s="184"/>
      <c r="L28" s="384"/>
      <c r="M28" s="377"/>
      <c r="N28" s="375"/>
      <c r="O28" s="170" t="s">
        <v>145</v>
      </c>
      <c r="P28" s="198">
        <f t="shared" ref="P28" ca="1" si="43">MIN(IF($B29,P27+IF(ISNUMBER(O28),O28,0),P29/$N27),1)</f>
        <v>0.125</v>
      </c>
      <c r="Q28" s="168">
        <f t="shared" ref="Q28" ca="1" si="44">MIN(IF($B29,Q27+IF(ISNUMBER(P28),P28,0),Q29/$N27),1)</f>
        <v>0.25</v>
      </c>
      <c r="R28" s="168">
        <f t="shared" ref="R28" ca="1" si="45">MIN(IF($B29,R27+IF(ISNUMBER(Q28),Q28,0),R29/$N27),1)</f>
        <v>0.375</v>
      </c>
      <c r="S28" s="168">
        <f t="shared" ref="S28" ca="1" si="46">MIN(IF($B29,S27+IF(ISNUMBER(R28),R28,0),S29/$N27),1)</f>
        <v>0.5</v>
      </c>
      <c r="T28" s="168">
        <f t="shared" ref="T28" ca="1" si="47">MIN(IF($B29,T27+IF(ISNUMBER(S28),S28,0),T29/$N27),1)</f>
        <v>0.625</v>
      </c>
      <c r="U28" s="168">
        <f t="shared" ref="U28" ca="1" si="48">MIN(IF($B29,U27+IF(ISNUMBER(T28),T28,0),U29/$N27),1)</f>
        <v>0.75</v>
      </c>
      <c r="V28" s="168">
        <f t="shared" ref="V28" ca="1" si="49">MIN(IF($B29,V27+IF(ISNUMBER(U28),U28,0),V29/$N27),1)</f>
        <v>0.875</v>
      </c>
      <c r="W28" s="168">
        <f t="shared" ref="W28" ca="1" si="50">MIN(IF($B29,W27+IF(ISNUMBER(V28),V28,0),W29/$N27),1)</f>
        <v>1</v>
      </c>
      <c r="X28" s="196"/>
      <c r="AC28" s="168">
        <f t="shared" ref="AC28" ca="1" si="51">MIN(IF($B29,AC27+IF(ISNUMBER(AB28),AB28,0),AC29/$N27),1)</f>
        <v>0</v>
      </c>
    </row>
    <row r="29" spans="1:29" customFormat="1" ht="14.25" x14ac:dyDescent="0.2">
      <c r="A29" s="184">
        <f ca="1">OFFSET(A29,-CFF.NumLinha,0)+1</f>
        <v>4</v>
      </c>
      <c r="B29" s="184" t="b">
        <f ca="1">$C29&gt;=OFFSET($C29,CFF.NumLinha,0)</f>
        <v>1</v>
      </c>
      <c r="C29" s="184">
        <f ca="1">INDEX(PO!A$12:A$25,MATCH($A29,PO!$V$12:$V$25,0))</f>
        <v>1</v>
      </c>
      <c r="D29" s="184">
        <f t="shared" ref="D29" ca="1" si="52">IF(ISERROR(J29),I29,SMALL(I29:J29,1))-1</f>
        <v>0</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t="shared" ref="I29" ca="1" si="53">MATCH(0,OFFSET($D29,1,$C29,ROW($A$30)-ROW($A29)),0)</f>
        <v>1</v>
      </c>
      <c r="J29" s="184" t="e">
        <f t="shared" ref="J29" ca="1" si="54">MATCH(OFFSET($D29,0,$C29)+1,OFFSET($D29,1,$C29,ROW($A$30)-ROW($A29)),0)</f>
        <v>#N/A</v>
      </c>
      <c r="K29" s="185">
        <f ca="1">ROUND(INDEX(PO!T$12:T$25,MATCH($A29,PO!$V$12:$V$25,0)),2)+10^-12</f>
        <v>703.97000000000105</v>
      </c>
      <c r="L29" s="384"/>
      <c r="M29" s="377"/>
      <c r="N29" s="375"/>
      <c r="O29" s="204" t="s">
        <v>20</v>
      </c>
      <c r="P29" s="199">
        <f t="shared" ref="P29:W29" ca="1" si="55">IF($B29,ROUND(P28*$N27,2),ROUND(SUMIF(OFFSET($B29,1,0,$D29),TRUE,OFFSET(P29,1,0,$D29))/SUMIF(OFFSET($B29,1,0,$D29),TRUE,OFFSET($K29,1,0,$D29))*$N27,2))</f>
        <v>88</v>
      </c>
      <c r="Q29" s="169">
        <f t="shared" ca="1" si="55"/>
        <v>175.99</v>
      </c>
      <c r="R29" s="169">
        <f t="shared" ca="1" si="55"/>
        <v>263.99</v>
      </c>
      <c r="S29" s="169">
        <f t="shared" ca="1" si="55"/>
        <v>351.99</v>
      </c>
      <c r="T29" s="169">
        <f t="shared" ca="1" si="55"/>
        <v>439.98</v>
      </c>
      <c r="U29" s="169">
        <f t="shared" ca="1" si="55"/>
        <v>527.98</v>
      </c>
      <c r="V29" s="169">
        <f t="shared" ca="1" si="55"/>
        <v>615.97</v>
      </c>
      <c r="W29" s="207">
        <f t="shared" ca="1" si="55"/>
        <v>703.97</v>
      </c>
      <c r="X29" s="196"/>
      <c r="AC29" s="169">
        <f t="shared" ref="AC29" ca="1" si="56">IF($B29,ROUND(AC28*$N27,2),ROUND(SUMIF(OFFSET($B29,1,0,$D29),TRUE,OFFSET(AC29,1,0,$D29))/SUMIF(OFFSET($B29,1,0,$D29),TRUE,OFFSET($K29,1,0,$D29))*$N27,2))</f>
        <v>0</v>
      </c>
    </row>
    <row r="30" spans="1:29" s="45" customFormat="1" ht="12.75" customHeight="1" x14ac:dyDescent="0.2">
      <c r="A30" s="1"/>
      <c r="B30" s="1"/>
      <c r="C30" s="184">
        <v>-1</v>
      </c>
      <c r="D30" s="184"/>
      <c r="E30" s="184">
        <v>0</v>
      </c>
      <c r="F30" s="184">
        <v>0</v>
      </c>
      <c r="G30" s="184">
        <v>0</v>
      </c>
      <c r="H30" s="184">
        <v>0</v>
      </c>
      <c r="I30" s="1"/>
      <c r="J30" s="1"/>
      <c r="K30" s="1"/>
      <c r="L30" s="154"/>
      <c r="M30" s="154"/>
      <c r="N30" s="155"/>
      <c r="O30" s="154"/>
      <c r="P30" s="154"/>
      <c r="Q30" s="155"/>
      <c r="R30" s="154"/>
      <c r="S30" s="154"/>
      <c r="T30" s="154"/>
      <c r="U30" s="154"/>
      <c r="V30" s="154"/>
      <c r="W30" s="154"/>
      <c r="X30" s="186"/>
      <c r="AC30" s="154"/>
    </row>
    <row r="31" spans="1:29" ht="12" customHeight="1" x14ac:dyDescent="0.2">
      <c r="A31" s="1"/>
      <c r="B31" s="1"/>
      <c r="C31" s="1"/>
      <c r="D31" s="1"/>
      <c r="E31" s="1"/>
      <c r="F31" s="1"/>
      <c r="G31" s="1"/>
      <c r="H31" s="1"/>
      <c r="I31" s="1"/>
      <c r="J31" s="1"/>
      <c r="K31" s="1"/>
      <c r="L31" s="187"/>
      <c r="M31" s="187"/>
      <c r="N31" s="187"/>
      <c r="O31" s="187"/>
      <c r="P31" s="187"/>
      <c r="Q31" s="187"/>
      <c r="R31" s="187"/>
      <c r="S31" s="187"/>
      <c r="T31" s="187"/>
      <c r="U31" s="187"/>
      <c r="V31" s="187"/>
      <c r="W31" s="187"/>
      <c r="X31" s="188"/>
      <c r="AC31" s="187"/>
    </row>
    <row r="32" spans="1:29" x14ac:dyDescent="0.2">
      <c r="A32" s="1"/>
      <c r="B32" s="1"/>
      <c r="C32" s="1"/>
      <c r="D32" s="1"/>
      <c r="E32" s="1"/>
      <c r="F32" s="1"/>
      <c r="G32" s="1"/>
      <c r="H32" s="1"/>
      <c r="I32" s="1"/>
      <c r="J32" s="1"/>
      <c r="K32" s="1"/>
      <c r="L32" s="381">
        <f>DADOS!I32</f>
        <v>0</v>
      </c>
      <c r="M32" s="381"/>
      <c r="N32" s="381"/>
      <c r="O32" s="187"/>
      <c r="P32" s="189"/>
      <c r="Q32" s="378"/>
      <c r="R32" s="378"/>
      <c r="S32" s="378"/>
      <c r="T32" s="187"/>
      <c r="U32" s="187"/>
      <c r="V32" s="187"/>
      <c r="W32" s="187"/>
      <c r="X32" s="188"/>
      <c r="AC32" s="187"/>
    </row>
    <row r="33" spans="1:29" x14ac:dyDescent="0.2">
      <c r="A33" s="1"/>
      <c r="B33" s="1"/>
      <c r="C33" s="1"/>
      <c r="D33" s="1"/>
      <c r="E33" s="1"/>
      <c r="F33" s="1"/>
      <c r="G33" s="1"/>
      <c r="H33" s="1"/>
      <c r="I33" s="1"/>
      <c r="J33" s="1"/>
      <c r="K33" s="1"/>
      <c r="L33" s="190" t="s">
        <v>120</v>
      </c>
      <c r="M33" s="380"/>
      <c r="N33" s="380"/>
      <c r="O33" s="187"/>
      <c r="P33" s="189"/>
      <c r="Q33" s="378"/>
      <c r="R33" s="378"/>
      <c r="S33" s="378"/>
      <c r="T33" s="187"/>
      <c r="U33" s="187"/>
      <c r="V33" s="187"/>
      <c r="W33" s="187"/>
      <c r="X33" s="188"/>
      <c r="AC33" s="187"/>
    </row>
    <row r="34" spans="1:29" x14ac:dyDescent="0.2">
      <c r="A34" s="1"/>
      <c r="B34" s="1"/>
      <c r="C34" s="1"/>
      <c r="D34" s="1"/>
      <c r="E34" s="1"/>
      <c r="F34" s="1"/>
      <c r="G34" s="1"/>
      <c r="H34" s="1"/>
      <c r="I34" s="1"/>
      <c r="J34" s="1"/>
      <c r="K34" s="1"/>
      <c r="L34" s="189"/>
      <c r="M34" s="379"/>
      <c r="N34" s="380"/>
      <c r="O34" s="187"/>
      <c r="P34" s="189"/>
      <c r="Q34" s="378"/>
      <c r="R34" s="378"/>
      <c r="S34" s="378"/>
      <c r="T34" s="187"/>
      <c r="U34" s="187"/>
      <c r="V34" s="187"/>
      <c r="W34" s="187"/>
      <c r="X34" s="188"/>
      <c r="AC34" s="187"/>
    </row>
    <row r="35" spans="1:29" x14ac:dyDescent="0.2">
      <c r="A35" s="1"/>
      <c r="B35" s="1"/>
      <c r="C35" s="1"/>
      <c r="D35" s="1"/>
      <c r="E35" s="1"/>
      <c r="F35" s="1"/>
      <c r="G35" s="1"/>
      <c r="H35" s="1"/>
      <c r="I35" s="1"/>
      <c r="J35" s="1"/>
      <c r="K35" s="1"/>
      <c r="L35" s="382">
        <f ca="1">PO!K39</f>
        <v>45374</v>
      </c>
      <c r="M35" s="382"/>
      <c r="N35" s="382"/>
      <c r="O35" s="187"/>
      <c r="P35" s="187"/>
      <c r="Q35" s="187"/>
      <c r="R35" s="187"/>
      <c r="S35" s="187"/>
      <c r="T35" s="187"/>
      <c r="U35" s="187"/>
      <c r="V35" s="187"/>
      <c r="W35" s="187"/>
      <c r="X35" s="191"/>
      <c r="AC35" s="187"/>
    </row>
    <row r="36" spans="1:29" x14ac:dyDescent="0.2">
      <c r="A36" s="1"/>
      <c r="B36" s="1"/>
      <c r="C36" s="1"/>
      <c r="D36" s="1"/>
      <c r="E36" s="1"/>
      <c r="F36" s="1"/>
      <c r="G36" s="1"/>
      <c r="H36" s="1"/>
      <c r="I36" s="1"/>
      <c r="J36" s="1"/>
      <c r="K36" s="1"/>
      <c r="L36" s="192" t="s">
        <v>121</v>
      </c>
      <c r="M36" s="193"/>
      <c r="N36" s="193"/>
      <c r="O36" s="187"/>
      <c r="P36" s="187"/>
      <c r="Q36" s="187"/>
      <c r="R36" s="187"/>
      <c r="S36" s="187"/>
      <c r="T36" s="187"/>
      <c r="U36" s="187"/>
      <c r="V36" s="187"/>
      <c r="W36" s="187"/>
      <c r="X36" s="191"/>
      <c r="AC36" s="187"/>
    </row>
    <row r="37" spans="1:29" x14ac:dyDescent="0.2">
      <c r="A37" s="1"/>
      <c r="B37" s="1"/>
      <c r="C37" s="1"/>
      <c r="D37" s="1"/>
      <c r="E37" s="1"/>
      <c r="F37" s="1"/>
      <c r="G37" s="1"/>
      <c r="H37" s="1"/>
      <c r="I37" s="1"/>
      <c r="J37" s="1"/>
      <c r="K37" s="1"/>
      <c r="L37" s="187"/>
      <c r="M37" s="187"/>
      <c r="N37" s="187"/>
      <c r="O37" s="187"/>
      <c r="P37" s="187"/>
      <c r="Q37" s="187"/>
      <c r="R37" s="187"/>
      <c r="S37" s="187"/>
      <c r="T37" s="187"/>
      <c r="U37" s="187"/>
      <c r="V37" s="187"/>
      <c r="W37" s="187"/>
      <c r="X37" s="191"/>
      <c r="AC37" s="187"/>
    </row>
    <row r="38" spans="1:29" x14ac:dyDescent="0.2">
      <c r="A38" s="1"/>
      <c r="B38" s="1"/>
      <c r="C38" s="1"/>
      <c r="D38" s="1"/>
      <c r="E38" s="1"/>
      <c r="F38" s="1"/>
      <c r="G38" s="1"/>
      <c r="H38" s="1"/>
      <c r="I38" s="1"/>
      <c r="J38" s="1"/>
      <c r="K38" s="1"/>
      <c r="L38" s="187"/>
      <c r="M38" s="187"/>
      <c r="N38" s="194"/>
      <c r="O38" s="187"/>
      <c r="P38" s="187"/>
      <c r="Q38" s="187"/>
      <c r="R38" s="187"/>
      <c r="S38" s="187"/>
      <c r="T38" s="187"/>
      <c r="U38" s="187"/>
      <c r="V38" s="187"/>
      <c r="W38" s="187"/>
      <c r="X38" s="188"/>
      <c r="AC38" s="187"/>
    </row>
    <row r="39" spans="1:29" x14ac:dyDescent="0.2">
      <c r="A39" s="1"/>
      <c r="B39" s="1"/>
      <c r="C39" s="1"/>
      <c r="D39" s="1"/>
      <c r="E39" s="1"/>
      <c r="F39" s="1"/>
      <c r="G39" s="1"/>
      <c r="H39" s="1"/>
      <c r="I39" s="1"/>
      <c r="J39" s="1"/>
      <c r="K39" s="1"/>
      <c r="L39" s="187"/>
      <c r="M39" s="187"/>
      <c r="N39" s="194"/>
      <c r="O39" s="187"/>
      <c r="P39" s="187"/>
      <c r="Q39" s="187"/>
      <c r="R39" s="187"/>
      <c r="S39" s="187"/>
      <c r="T39" s="187"/>
      <c r="U39" s="187"/>
      <c r="V39" s="187"/>
      <c r="W39" s="187"/>
      <c r="X39" s="188"/>
      <c r="AC39" s="187"/>
    </row>
    <row r="40" spans="1:29" x14ac:dyDescent="0.2">
      <c r="A40" s="1"/>
      <c r="B40" s="1"/>
      <c r="C40" s="1"/>
      <c r="D40" s="1"/>
      <c r="E40" s="1"/>
      <c r="F40" s="1"/>
      <c r="G40" s="1"/>
      <c r="H40" s="1"/>
      <c r="I40" s="1"/>
      <c r="J40" s="1"/>
      <c r="K40" s="1"/>
      <c r="L40" s="82"/>
      <c r="M40" s="82"/>
      <c r="N40" s="7"/>
      <c r="O40" s="82"/>
      <c r="P40" s="82"/>
      <c r="Q40" s="82"/>
      <c r="R40" s="82"/>
      <c r="S40" s="82"/>
      <c r="T40" s="82"/>
      <c r="U40" s="82"/>
      <c r="V40" s="82"/>
      <c r="W40" s="187"/>
      <c r="X40" s="188"/>
      <c r="AC40" s="82"/>
    </row>
  </sheetData>
  <sheetProtection password="C95B" sheet="1" objects="1" scenarios="1"/>
  <mergeCells count="25">
    <mergeCell ref="L35:N35"/>
    <mergeCell ref="L11:L13"/>
    <mergeCell ref="M11:M13"/>
    <mergeCell ref="L14:M17"/>
    <mergeCell ref="N14:N17"/>
    <mergeCell ref="L18:L20"/>
    <mergeCell ref="L21:L23"/>
    <mergeCell ref="M21:M23"/>
    <mergeCell ref="N21:N23"/>
    <mergeCell ref="L24:L26"/>
    <mergeCell ref="M24:M26"/>
    <mergeCell ref="N24:N26"/>
    <mergeCell ref="L27:L29"/>
    <mergeCell ref="M27:M29"/>
    <mergeCell ref="N27:N29"/>
    <mergeCell ref="L8:M8"/>
    <mergeCell ref="N11:N13"/>
    <mergeCell ref="M18:M20"/>
    <mergeCell ref="N18:N20"/>
    <mergeCell ref="Q34:S34"/>
    <mergeCell ref="M34:N34"/>
    <mergeCell ref="Q33:S33"/>
    <mergeCell ref="Q32:S32"/>
    <mergeCell ref="L32:N32"/>
    <mergeCell ref="M33:N33"/>
  </mergeCells>
  <phoneticPr fontId="20" type="noConversion"/>
  <conditionalFormatting sqref="L11:N11 L12:M13 L18:N18">
    <cfRule type="expression" dxfId="64" priority="1018" stopIfTrue="1">
      <formula>$C13=1</formula>
    </cfRule>
  </conditionalFormatting>
  <conditionalFormatting sqref="O11 O18">
    <cfRule type="expression" dxfId="63" priority="1090" stopIfTrue="1">
      <formula>$B13=FALSE</formula>
    </cfRule>
    <cfRule type="expression" dxfId="62" priority="1091" stopIfTrue="1">
      <formula>$C13=1</formula>
    </cfRule>
  </conditionalFormatting>
  <conditionalFormatting sqref="P12:W12">
    <cfRule type="expression" dxfId="61" priority="1080" stopIfTrue="1">
      <formula>AND(ISNUMBER(O13),O13&gt;=$N11)</formula>
    </cfRule>
    <cfRule type="cellIs" dxfId="60" priority="1081" stopIfTrue="1" operator="notBetween">
      <formula>0</formula>
      <formula>1</formula>
    </cfRule>
  </conditionalFormatting>
  <conditionalFormatting sqref="P13:W13">
    <cfRule type="expression" dxfId="59" priority="1082" stopIfTrue="1">
      <formula>AND(ISNUMBER(O13),O13&gt;=$N11)</formula>
    </cfRule>
    <cfRule type="cellIs" dxfId="58" priority="1083" stopIfTrue="1" operator="notBetween">
      <formula>0</formula>
      <formula>$N11</formula>
    </cfRule>
  </conditionalFormatting>
  <conditionalFormatting sqref="P14:W14">
    <cfRule type="expression" dxfId="57" priority="1084" stopIfTrue="1">
      <formula>AND(ISNUMBER(O17),O17&gt;=$N14)</formula>
    </cfRule>
  </conditionalFormatting>
  <conditionalFormatting sqref="P15:W15">
    <cfRule type="expression" dxfId="56" priority="1085" stopIfTrue="1">
      <formula>AND(ISNUMBER(O17),O17&gt;=$N14)</formula>
    </cfRule>
  </conditionalFormatting>
  <conditionalFormatting sqref="P16:W16">
    <cfRule type="expression" dxfId="55" priority="1086" stopIfTrue="1">
      <formula>AND(ISNUMBER(O17),O17&gt;=$N14)</formula>
    </cfRule>
    <cfRule type="cellIs" dxfId="54" priority="1087" stopIfTrue="1" operator="notBetween">
      <formula>0</formula>
      <formula>1</formula>
    </cfRule>
  </conditionalFormatting>
  <conditionalFormatting sqref="P17:W17">
    <cfRule type="expression" dxfId="53" priority="1088" stopIfTrue="1">
      <formula>AND(ISNUMBER(O17),O17&gt;=$N14)</formula>
    </cfRule>
    <cfRule type="cellIs" dxfId="52" priority="1089" stopIfTrue="1" operator="notBetween">
      <formula>0</formula>
      <formula>$N14</formula>
    </cfRule>
  </conditionalFormatting>
  <conditionalFormatting sqref="L8">
    <cfRule type="cellIs" dxfId="51" priority="1075" stopIfTrue="1" operator="notEqual">
      <formula>""</formula>
    </cfRule>
  </conditionalFormatting>
  <conditionalFormatting sqref="N9">
    <cfRule type="expression" dxfId="50" priority="1074" stopIfTrue="1">
      <formula>TipoOrçamento&lt;&gt;"REPROGRAMADOAC"</formula>
    </cfRule>
  </conditionalFormatting>
  <conditionalFormatting sqref="L19:M20">
    <cfRule type="expression" dxfId="49" priority="1909" stopIfTrue="1">
      <formula>#REF!=1</formula>
    </cfRule>
  </conditionalFormatting>
  <conditionalFormatting sqref="P11:W11">
    <cfRule type="expression" dxfId="48" priority="229" stopIfTrue="1">
      <formula>AND(ISNUMBER(O13),O13&gt;=$N11)</formula>
    </cfRule>
    <cfRule type="expression" dxfId="47" priority="230" stopIfTrue="1">
      <formula>$B13=FALSE</formula>
    </cfRule>
    <cfRule type="expression" dxfId="46" priority="231" stopIfTrue="1">
      <formula>$C13=1</formula>
    </cfRule>
  </conditionalFormatting>
  <conditionalFormatting sqref="P19:W19">
    <cfRule type="expression" dxfId="45" priority="180" stopIfTrue="1">
      <formula>AND(ISNUMBER(O20),O20&gt;=$N18)</formula>
    </cfRule>
    <cfRule type="cellIs" dxfId="44" priority="181" stopIfTrue="1" operator="notBetween">
      <formula>0</formula>
      <formula>1</formula>
    </cfRule>
  </conditionalFormatting>
  <conditionalFormatting sqref="P20:W20">
    <cfRule type="expression" dxfId="43" priority="182" stopIfTrue="1">
      <formula>AND(ISNUMBER(O20),O20&gt;=$N18)</formula>
    </cfRule>
    <cfRule type="cellIs" dxfId="42" priority="183" stopIfTrue="1" operator="notBetween">
      <formula>0</formula>
      <formula>$N18</formula>
    </cfRule>
  </conditionalFormatting>
  <conditionalFormatting sqref="O10:W10">
    <cfRule type="expression" dxfId="41" priority="152" stopIfTrue="1">
      <formula>1=1</formula>
    </cfRule>
  </conditionalFormatting>
  <conditionalFormatting sqref="P18:W18">
    <cfRule type="expression" dxfId="40" priority="107" stopIfTrue="1">
      <formula>AND(ISNUMBER(O20),O20&gt;=$N18)</formula>
    </cfRule>
    <cfRule type="expression" dxfId="39" priority="108" stopIfTrue="1">
      <formula>$B20=FALSE</formula>
    </cfRule>
    <cfRule type="expression" dxfId="38" priority="109" stopIfTrue="1">
      <formula>$C20=1</formula>
    </cfRule>
  </conditionalFormatting>
  <conditionalFormatting sqref="AC18">
    <cfRule type="expression" dxfId="37" priority="27" stopIfTrue="1">
      <formula>AND(ISNUMBER(AB20),AB20&gt;=$N18)</formula>
    </cfRule>
    <cfRule type="expression" dxfId="36" priority="28" stopIfTrue="1">
      <formula>$B20=FALSE</formula>
    </cfRule>
    <cfRule type="expression" dxfId="35" priority="29" stopIfTrue="1">
      <formula>$C20=1</formula>
    </cfRule>
  </conditionalFormatting>
  <conditionalFormatting sqref="AC12">
    <cfRule type="expression" dxfId="34" priority="42" stopIfTrue="1">
      <formula>AND(ISNUMBER(AB13),AB13&gt;=$N11)</formula>
    </cfRule>
    <cfRule type="cellIs" dxfId="33" priority="43" stopIfTrue="1" operator="notBetween">
      <formula>0</formula>
      <formula>1</formula>
    </cfRule>
  </conditionalFormatting>
  <conditionalFormatting sqref="AC13">
    <cfRule type="expression" dxfId="32" priority="44" stopIfTrue="1">
      <formula>AND(ISNUMBER(AB13),AB13&gt;=$N11)</formula>
    </cfRule>
    <cfRule type="cellIs" dxfId="31" priority="45" stopIfTrue="1" operator="notBetween">
      <formula>0</formula>
      <formula>$N11</formula>
    </cfRule>
  </conditionalFormatting>
  <conditionalFormatting sqref="AC14">
    <cfRule type="expression" dxfId="30" priority="46" stopIfTrue="1">
      <formula>AND(ISNUMBER(AB17),AB17&gt;=$N14)</formula>
    </cfRule>
  </conditionalFormatting>
  <conditionalFormatting sqref="AC15">
    <cfRule type="expression" dxfId="29" priority="47" stopIfTrue="1">
      <formula>AND(ISNUMBER(AB17),AB17&gt;=$N14)</formula>
    </cfRule>
  </conditionalFormatting>
  <conditionalFormatting sqref="AC16">
    <cfRule type="expression" dxfId="28" priority="48" stopIfTrue="1">
      <formula>AND(ISNUMBER(AB17),AB17&gt;=$N14)</formula>
    </cfRule>
    <cfRule type="cellIs" dxfId="27" priority="49" stopIfTrue="1" operator="notBetween">
      <formula>0</formula>
      <formula>1</formula>
    </cfRule>
  </conditionalFormatting>
  <conditionalFormatting sqref="AC17">
    <cfRule type="expression" dxfId="26" priority="50" stopIfTrue="1">
      <formula>AND(ISNUMBER(AB17),AB17&gt;=$N14)</formula>
    </cfRule>
    <cfRule type="cellIs" dxfId="25" priority="51" stopIfTrue="1" operator="notBetween">
      <formula>0</formula>
      <formula>$N14</formula>
    </cfRule>
  </conditionalFormatting>
  <conditionalFormatting sqref="AC11">
    <cfRule type="expression" dxfId="24" priority="39" stopIfTrue="1">
      <formula>AND(ISNUMBER(AB13),AB13&gt;=$N11)</formula>
    </cfRule>
    <cfRule type="expression" dxfId="23" priority="40" stopIfTrue="1">
      <formula>$B13=FALSE</formula>
    </cfRule>
    <cfRule type="expression" dxfId="22" priority="41" stopIfTrue="1">
      <formula>$C13=1</formula>
    </cfRule>
  </conditionalFormatting>
  <conditionalFormatting sqref="AC19">
    <cfRule type="expression" dxfId="21" priority="35" stopIfTrue="1">
      <formula>AND(ISNUMBER(AB20),AB20&gt;=$N18)</formula>
    </cfRule>
    <cfRule type="cellIs" dxfId="20" priority="36" stopIfTrue="1" operator="notBetween">
      <formula>0</formula>
      <formula>1</formula>
    </cfRule>
  </conditionalFormatting>
  <conditionalFormatting sqref="AC20">
    <cfRule type="expression" dxfId="19" priority="37" stopIfTrue="1">
      <formula>AND(ISNUMBER(AB20),AB20&gt;=$N18)</formula>
    </cfRule>
    <cfRule type="cellIs" dxfId="18" priority="38" stopIfTrue="1" operator="notBetween">
      <formula>0</formula>
      <formula>$N18</formula>
    </cfRule>
  </conditionalFormatting>
  <conditionalFormatting sqref="AC10">
    <cfRule type="expression" dxfId="17" priority="30" stopIfTrue="1">
      <formula>1=1</formula>
    </cfRule>
  </conditionalFormatting>
  <conditionalFormatting sqref="L21:N21 L24:N24 L27:N27 L22:M23 L25:M26 L28:M29">
    <cfRule type="expression" dxfId="16" priority="11" stopIfTrue="1">
      <formula>$C23=1</formula>
    </cfRule>
  </conditionalFormatting>
  <conditionalFormatting sqref="O21 O24 O27">
    <cfRule type="expression" dxfId="15" priority="16" stopIfTrue="1">
      <formula>$B23=FALSE</formula>
    </cfRule>
    <cfRule type="expression" dxfId="14" priority="17" stopIfTrue="1">
      <formula>$C23=1</formula>
    </cfRule>
  </conditionalFormatting>
  <conditionalFormatting sqref="P22:W22 P25:W25 P28:W28">
    <cfRule type="expression" dxfId="13" priority="12" stopIfTrue="1">
      <formula>AND(ISNUMBER(O23),O23&gt;=$N21)</formula>
    </cfRule>
    <cfRule type="cellIs" dxfId="12" priority="13" stopIfTrue="1" operator="notBetween">
      <formula>0</formula>
      <formula>1</formula>
    </cfRule>
  </conditionalFormatting>
  <conditionalFormatting sqref="P23:W23 P26:W26 P29:W29">
    <cfRule type="expression" dxfId="11" priority="14" stopIfTrue="1">
      <formula>AND(ISNUMBER(O23),O23&gt;=$N21)</formula>
    </cfRule>
    <cfRule type="cellIs" dxfId="10" priority="15" stopIfTrue="1" operator="notBetween">
      <formula>0</formula>
      <formula>$N21</formula>
    </cfRule>
  </conditionalFormatting>
  <conditionalFormatting sqref="P21:W21 P24:W24 P27:W27">
    <cfRule type="expression" dxfId="9" priority="8" stopIfTrue="1">
      <formula>AND(ISNUMBER(O23),O23&gt;=$N21)</formula>
    </cfRule>
    <cfRule type="expression" dxfId="8" priority="9" stopIfTrue="1">
      <formula>$B23=FALSE</formula>
    </cfRule>
    <cfRule type="expression" dxfId="7" priority="10" stopIfTrue="1">
      <formula>$C23=1</formula>
    </cfRule>
  </conditionalFormatting>
  <conditionalFormatting sqref="AC22 AC25 AC28">
    <cfRule type="expression" dxfId="6" priority="4" stopIfTrue="1">
      <formula>AND(ISNUMBER(AB23),AB23&gt;=$N21)</formula>
    </cfRule>
    <cfRule type="cellIs" dxfId="5" priority="5" stopIfTrue="1" operator="notBetween">
      <formula>0</formula>
      <formula>1</formula>
    </cfRule>
  </conditionalFormatting>
  <conditionalFormatting sqref="AC23 AC26 AC29">
    <cfRule type="expression" dxfId="4" priority="6" stopIfTrue="1">
      <formula>AND(ISNUMBER(AB23),AB23&gt;=$N21)</formula>
    </cfRule>
    <cfRule type="cellIs" dxfId="3" priority="7" stopIfTrue="1" operator="notBetween">
      <formula>0</formula>
      <formula>$N21</formula>
    </cfRule>
  </conditionalFormatting>
  <conditionalFormatting sqref="AC21 AC24 AC27">
    <cfRule type="expression" dxfId="2" priority="1" stopIfTrue="1">
      <formula>AND(ISNUMBER(AB23),AB23&gt;=$N21)</formula>
    </cfRule>
    <cfRule type="expression" dxfId="1" priority="2" stopIfTrue="1">
      <formula>$B23=FALSE</formula>
    </cfRule>
    <cfRule type="expression" dxfId="0" priority="3" stopIfTrue="1">
      <formula>$C23=1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59</vt:i4>
      </vt:variant>
    </vt:vector>
  </HeadingPairs>
  <TitlesOfParts>
    <vt:vector size="64" baseType="lpstr">
      <vt:lpstr>DADOS</vt:lpstr>
      <vt:lpstr>BDI (1)</vt:lpstr>
      <vt:lpstr>PO</vt:lpstr>
      <vt:lpstr>PLQ</vt:lpstr>
      <vt:lpstr>CFF</vt:lpstr>
      <vt:lpstr>PLQ!_FiltrarBancodeDados</vt:lpstr>
      <vt:lpstr>PO!_FiltrarBancodeDados</vt:lpstr>
      <vt:lpstr>'BDI (1)'!Area_de_impressao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Paluchowski</dc:creator>
  <cp:lastModifiedBy>Jason Paluchowski</cp:lastModifiedBy>
  <cp:lastPrinted>2024-03-13T01:30:47Z</cp:lastPrinted>
  <dcterms:created xsi:type="dcterms:W3CDTF">1998-03-27T18:43:07Z</dcterms:created>
  <dcterms:modified xsi:type="dcterms:W3CDTF">2024-03-25T02:25:47Z</dcterms:modified>
</cp:coreProperties>
</file>