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kaste\OneDrive\Área de Trabalho\orçamento trecho II tunas\orçamento atual\"/>
    </mc:Choice>
  </mc:AlternateContent>
  <workbookProtection workbookPassword="A71E" lockStructure="1"/>
  <bookViews>
    <workbookView xWindow="32760" yWindow="32760" windowWidth="22896" windowHeight="10320" tabRatio="586" activeTab="1"/>
  </bookViews>
  <sheets>
    <sheet name="DADOS" sheetId="5" r:id="rId1"/>
    <sheet name="QCI" sheetId="1" r:id="rId2"/>
    <sheet name="CRONO" sheetId="16" r:id="rId3"/>
    <sheet name="RRE" sheetId="12" r:id="rId4"/>
    <sheet name="Ofício" sheetId="14" r:id="rId5"/>
    <sheet name="Listas" sheetId="15" state="hidden" r:id="rId6"/>
  </sheets>
  <definedNames>
    <definedName name="_xlnm._FilterDatabase" localSheetId="2" hidden="1">CRONO!$E$8:$P$22</definedName>
    <definedName name="_xlnm._FilterDatabase" localSheetId="0" hidden="1">DADOS!#REF!</definedName>
    <definedName name="_xlnm._FilterDatabase" localSheetId="1" hidden="1">QCI!$B$9:$Q$16</definedName>
    <definedName name="_xlnm._FilterDatabase" localSheetId="3" hidden="1">RRE!$A$9:$J$15</definedName>
    <definedName name="_xlnm.Print_Area" localSheetId="2">CRONO!$E$1:$S$35</definedName>
    <definedName name="_xlnm.Print_Area" localSheetId="0">DADOS!$A$1:$J$83</definedName>
    <definedName name="_xlnm.Print_Area" localSheetId="4">Ofício!$A$1:$J$55</definedName>
    <definedName name="_xlnm.Print_Area" localSheetId="1">QCI!$B$2:$O$30</definedName>
    <definedName name="_xlnm.Print_Area" localSheetId="3">RRE!$A$2:$R$34</definedName>
    <definedName name="BlankField">OR(DADOS!$H$28="",DADOS!$J$22="",AND(DADOS!$B$37="",DADOS!$C$37=""))</definedName>
    <definedName name="Brasao">Ofício!$A$1</definedName>
    <definedName name="CalculadoCPFin">SUMIF(QCI!$R$15:$R$17,"Calculado",QCI!$AB$15:$AB$17)</definedName>
    <definedName name="CalculadoCPFisica">SUMIF(QCI!$R$15:$R$17,"Calculado",QCI!$AC$15:$AC$17)</definedName>
    <definedName name="CalculadoInv">CalculadoRep+CalculadoCPFin+CalculadoCPFisica</definedName>
    <definedName name="CalculadoRep">SUMIF(QCI!$R$15:$R$17,"Calculado",QCI!$AA$15:$AA$17)</definedName>
    <definedName name="CRONO.100Perc">MATCH(1,CRONO!$K$15:$S$15,0)</definedName>
    <definedName name="Crono.ColunaPadrão">CRONO!$X:$X</definedName>
    <definedName name="CRONO.firstcol">CRONO!$J:$J</definedName>
    <definedName name="CRONO.firstrow">CRONO!$19:$19</definedName>
    <definedName name="CRONO.formrow">CRONO!$8:$8</definedName>
    <definedName name="CRONO.InicioPrevisto">CRONO!$J$6</definedName>
    <definedName name="CRONO.lastcol">CRONO!$S:$S</definedName>
    <definedName name="CRONO.lastrow">CRONO!$25:$25</definedName>
    <definedName name="CRONO.MedicoesRealizadas">CRONO!$I$6</definedName>
    <definedName name="CRONO.ObsGeral1">CRONO!$27:$28</definedName>
    <definedName name="CRONO.ObsGeral2">CRONO!$29:$29</definedName>
    <definedName name="CRONO.ObsGeralBranco">CRONO!$30:$30</definedName>
    <definedName name="CRONO.ParcelasFolha">8</definedName>
    <definedName name="DifCrono">(ROW(QCI!$B$17)-ROW(QCI!$B$15)-1)*numlinhaCrono-(ROW(CRONO!$E$25)-ROW(CRONO!$E$19)-1)</definedName>
    <definedName name="I.CTEF">OFFSET(DADOS!$B$55,IF(DADOS!$J$22="OGU não-PAC",1,0),0,COUNTA(DADOS!$B$55:$B$77))</definedName>
    <definedName name="I.Lotes" localSheetId="3">RRE!$U$12:$U$15</definedName>
    <definedName name="I.Lotes">OFFSET(QCI!$AH$15,IF(DADOS!$J$22="OGU não-PAC",1,0),0):OFFSET(QCI!$AH$17,-1,0)</definedName>
    <definedName name="Import.Ação">OFFSET(DADOS!$G$21,1,0)</definedName>
    <definedName name="Import.Apelido">OFFSET(DADOS!$F$27,1,0)</definedName>
    <definedName name="Import.CNPJLista">DADOS!$F$56:$F$77</definedName>
    <definedName name="Import.Contrapartida">OFFSET(DADOS!$I$27,1,0)</definedName>
    <definedName name="Import.CPMinAbsoluta">OFFSET(DADOS!$C$36,1,0)</definedName>
    <definedName name="Import.CPMinPerc">OFFSET(DADOS!$B$36,1,0)</definedName>
    <definedName name="Import.CR">OFFSET(DADOS!$A$21,1,0)</definedName>
    <definedName name="Import.CTEFLista">DADOS!$B$56:$B$77</definedName>
    <definedName name="Import.FornecedorLista">DADOS!$C$56:$E$77</definedName>
    <definedName name="Import.Gestor">OFFSET(DADOS!$C$21,1,0)</definedName>
    <definedName name="Import.Localidade">OFFSET(DADOS!$F$24,1,0)</definedName>
    <definedName name="Import.Município">OFFSET(DADOS!$E$24,1,0)</definedName>
    <definedName name="Import.ObjetoCR">OFFSET(DADOS!$A$27,1,0)</definedName>
    <definedName name="Import.Programa">OFFSET(DADOS!$E$21,1,0)</definedName>
    <definedName name="Import.Proponente">OFFSET(DADOS!$A$24,1,0)</definedName>
    <definedName name="Import.Recurso">OFFSET(DADOS!$J$21,1,0)</definedName>
    <definedName name="Import.Repasse">OFFSET(DADOS!$H$27,1,0)</definedName>
    <definedName name="Import.SICONV">OFFSET(DADOS!$B$21,1,0)</definedName>
    <definedName name="ItemInvestimento">OFFSET(Listas!$B$2,1,0,COUNTA(Listas!$B:$B)-1)</definedName>
    <definedName name="ListaGIGOV">Listas!$A$3:$A$74</definedName>
    <definedName name="mcol">IF(COUNTIF(RRE!$AC$9:$BA$9,RRE!$I$5)=0,0,MATCH(RRE!$I$5,RRE!$AC$9:$BA$9,0))</definedName>
    <definedName name="NUM_OPERACAO">TEXT(SUBSTITUTE(LEFT(SUBSTITUTE(Import.CR,".",""),7),"-",""),"0000000")</definedName>
    <definedName name="numlinhaCrono">ROW(CRONO!$A$24)-ROW(CRONO!$A$20)+1</definedName>
    <definedName name="Objeto">DADOS!$A$1</definedName>
    <definedName name="QCI.CP">QCI!$M$9</definedName>
    <definedName name="QCI.CPEnter">QCI!$S$9</definedName>
    <definedName name="QCI.Dados">OFFSET(QCI!$A$9,0,1):OFFSET(QCI!$P$9,0,-1)</definedName>
    <definedName name="QCI.Descricao">QCI!$G$9</definedName>
    <definedName name="QCI.Divisao">QCI!$R$9</definedName>
    <definedName name="QCI.Etapa">QCI!$B$9</definedName>
    <definedName name="QCI.firstrow">QCI!$15:$15</definedName>
    <definedName name="QCI.Investimento">QCI!$O$9</definedName>
    <definedName name="QCI.InvestimentoEnter">QCI!$Q$9</definedName>
    <definedName name="QCI.Item">QCI!$E$9</definedName>
    <definedName name="QCI.lastrow">QCI!$17:$17</definedName>
    <definedName name="QCI.LinhaPadrão">QCI!$11:$11</definedName>
    <definedName name="QCI.Lote">QCI!$K$9</definedName>
    <definedName name="QCI.Meta_SubMeta">QCI!$C$9</definedName>
    <definedName name="QCI.MetaNumero">QCI!$D$9</definedName>
    <definedName name="QCI.ObsGeral1">QCI!$19:$20</definedName>
    <definedName name="QCI.ObsGeral2">QCI!$21:$21</definedName>
    <definedName name="QCI.ObsGeralBranco">QCI!$22:$22</definedName>
    <definedName name="QCI.Outros">QCI!$N$9</definedName>
    <definedName name="QCI.OutrosEnter">QCI!$T$9</definedName>
    <definedName name="QCI.Quadro">OFFSET(QCI!$B$15:$O$15,1,0):OFFSET(QCI!$B$17:$O$17,-1,0)</definedName>
    <definedName name="QCI.Quantidade">QCI!$I$9</definedName>
    <definedName name="QCI.Repasse">QCI!$L$9</definedName>
    <definedName name="QCI.Situacao">QCI!$H$9</definedName>
    <definedName name="QCI.SubItem">QCI!$F$9</definedName>
    <definedName name="QCI.Unidade">QCI!$J$9</definedName>
    <definedName name="RRE.Acumulado">OFFSET(RRE!$Q$15,1,0):OFFSET(RRE!$Q$17,-1,0)</definedName>
    <definedName name="RRE.firstrow">RRE!$15:$15</definedName>
    <definedName name="RRE.lastrow">RRE!$17:$17</definedName>
    <definedName name="RRE.LinhaPadrão">RRE!$A$11:$R$11</definedName>
    <definedName name="RRE.NumMedicao">RRE!$I$5</definedName>
    <definedName name="RRE.ObsGeral1">RRE!$19:$20</definedName>
    <definedName name="RRE.ObsGeral2">RRE!$21:$21</definedName>
    <definedName name="RRE.ObsGeralBranco">RRE!$22:$22</definedName>
    <definedName name="RREAferAnterior">OFFSET(RRE!$Z$15,1,0):OFFSET(RRE!$Z$17,-1,0)</definedName>
    <definedName name="RREAferAtual">OFFSET(RRE!$AA$15,1,0):OFFSET(RRE!$AA$17,-1,0)</definedName>
    <definedName name="RREMedAtual">OFFSET(RRE!$X$15,1,0):OFFSET(RRE!$X$17,-1,0)</definedName>
    <definedName name="RREMedições">OFFSET(RRE!$AC$15,1,0):OFFSET(RRE!$BA$17,-1,-1)</definedName>
    <definedName name="RREMode">RRE!$T$1</definedName>
    <definedName name="SENHAGT" hidden="1">"consolidado"</definedName>
    <definedName name="SubItemInvestimento">OFFSET(Listas!$A$2,1,MATCH(QCI!$E1,Listas!$2:$2,0)-1,INDEX(Listas!$2:$2,MATCH(QCI!$E1,Listas!$2:$2,0)+1))</definedName>
    <definedName name="SumCrono">SUMIF(OFFSET(CRONO!$B1,1,0,CRONO!$A1),CRONO!$J1,OFFSET(CRONO!A1,1,0,CRONO!$A1))</definedName>
    <definedName name="_xlnm.Print_Titles" localSheetId="2">CRONO!$E:$J,CRONO!$8:$9</definedName>
    <definedName name="_xlnm.Print_Titles" localSheetId="1">QCI!$9:$10</definedName>
    <definedName name="_xlnm.Print_Titles" localSheetId="3">RRE!$9:$10</definedName>
    <definedName name="Versao">DADOS!$A$2</definedName>
  </definedNames>
  <calcPr calcId="152511"/>
</workbook>
</file>

<file path=xl/calcChain.xml><?xml version="1.0" encoding="utf-8"?>
<calcChain xmlns="http://schemas.openxmlformats.org/spreadsheetml/2006/main">
  <c r="T16" i="1" l="1"/>
  <c r="A23" i="14"/>
  <c r="B14" i="14"/>
  <c r="H14" i="14" s="1"/>
  <c r="B13" i="14"/>
  <c r="A38" i="14"/>
  <c r="A36" i="14"/>
  <c r="A53" i="14"/>
  <c r="A25" i="12"/>
  <c r="X2" i="15"/>
  <c r="Y16" i="1"/>
  <c r="O16" i="1" s="1"/>
  <c r="Z7" i="1"/>
  <c r="J24" i="16"/>
  <c r="A19" i="16"/>
  <c r="A18" i="16"/>
  <c r="J18" i="16"/>
  <c r="B18" i="16" s="1"/>
  <c r="B19" i="16"/>
  <c r="A17" i="16"/>
  <c r="J7" i="16"/>
  <c r="K7" i="16" s="1"/>
  <c r="D16" i="12"/>
  <c r="B16" i="12"/>
  <c r="F16" i="12" s="1"/>
  <c r="A16" i="12"/>
  <c r="M8" i="12"/>
  <c r="A3" i="12"/>
  <c r="A33" i="12"/>
  <c r="H33" i="12"/>
  <c r="H32" i="12"/>
  <c r="H25" i="12"/>
  <c r="A27" i="12"/>
  <c r="A30" i="12"/>
  <c r="H30" i="12"/>
  <c r="H28" i="12"/>
  <c r="H27" i="12"/>
  <c r="A32" i="12"/>
  <c r="A28" i="12"/>
  <c r="J28" i="5"/>
  <c r="H27" i="5"/>
  <c r="V16" i="1"/>
  <c r="D16" i="1" s="1"/>
  <c r="X7" i="16"/>
  <c r="X8" i="16" s="1"/>
  <c r="H20" i="16"/>
  <c r="F20" i="16"/>
  <c r="E20" i="16"/>
  <c r="D2" i="15"/>
  <c r="F2" i="15"/>
  <c r="H2" i="15"/>
  <c r="J2" i="15"/>
  <c r="L2" i="15"/>
  <c r="N2" i="15"/>
  <c r="P2" i="15"/>
  <c r="J11" i="1" s="1"/>
  <c r="G11" i="12" s="1"/>
  <c r="R2" i="15"/>
  <c r="T2" i="15"/>
  <c r="V2" i="15"/>
  <c r="Z2" i="15"/>
  <c r="AB2" i="15"/>
  <c r="AD2" i="15"/>
  <c r="AF2" i="15"/>
  <c r="AH2" i="15"/>
  <c r="AJ2" i="15"/>
  <c r="G10" i="14"/>
  <c r="H13" i="14"/>
  <c r="B16" i="14"/>
  <c r="H16" i="14" s="1"/>
  <c r="B17" i="14"/>
  <c r="H17" i="14" s="1"/>
  <c r="A18" i="14"/>
  <c r="G18" i="14" s="1"/>
  <c r="B18" i="14"/>
  <c r="H18" i="14" s="1"/>
  <c r="A21" i="14"/>
  <c r="L24" i="14"/>
  <c r="L25" i="14" s="1"/>
  <c r="L26" i="14" s="1"/>
  <c r="D27" i="14"/>
  <c r="G53" i="14"/>
  <c r="Q2" i="12"/>
  <c r="Q3" i="12"/>
  <c r="AD9" i="12"/>
  <c r="AE9" i="12" s="1"/>
  <c r="A11" i="12"/>
  <c r="B11" i="12"/>
  <c r="F11" i="12" s="1"/>
  <c r="D11" i="12"/>
  <c r="K12" i="12"/>
  <c r="O12" i="12"/>
  <c r="V13" i="12"/>
  <c r="A23" i="12"/>
  <c r="I23" i="12"/>
  <c r="J23" i="12"/>
  <c r="E6" i="12" s="1"/>
  <c r="R1" i="16"/>
  <c r="R2" i="16"/>
  <c r="I5" i="16"/>
  <c r="J5" i="16"/>
  <c r="J11" i="16"/>
  <c r="L6" i="1" s="1"/>
  <c r="J16" i="16"/>
  <c r="B16" i="16" s="1"/>
  <c r="B12" i="16"/>
  <c r="B14" i="16"/>
  <c r="B17" i="16"/>
  <c r="J21" i="16"/>
  <c r="J22" i="16"/>
  <c r="E32" i="16"/>
  <c r="H32" i="16"/>
  <c r="E33" i="16"/>
  <c r="N33" i="16"/>
  <c r="N34" i="16"/>
  <c r="L9" i="1"/>
  <c r="H12" i="12" s="1"/>
  <c r="A29" i="14"/>
  <c r="J13" i="16"/>
  <c r="B13" i="16"/>
  <c r="T11" i="1"/>
  <c r="V11" i="1"/>
  <c r="D11" i="1" s="1"/>
  <c r="C11" i="12" s="1"/>
  <c r="W11" i="1"/>
  <c r="Y11" i="1"/>
  <c r="X11" i="1" s="1"/>
  <c r="T11" i="12" s="1"/>
  <c r="AH11" i="1"/>
  <c r="AI11" i="1"/>
  <c r="W16" i="1"/>
  <c r="AH16" i="1"/>
  <c r="AI16" i="1"/>
  <c r="K24" i="1"/>
  <c r="N24" i="1" s="1"/>
  <c r="I28" i="1"/>
  <c r="H33" i="16" s="1"/>
  <c r="T9" i="1"/>
  <c r="H14" i="12"/>
  <c r="V14" i="12"/>
  <c r="P12" i="12"/>
  <c r="L12" i="12"/>
  <c r="A31" i="14"/>
  <c r="A54" i="14"/>
  <c r="G54" i="14"/>
  <c r="J23" i="16"/>
  <c r="M5" i="12"/>
  <c r="V7" i="12"/>
  <c r="J16" i="1"/>
  <c r="G16" i="12" s="1"/>
  <c r="B20" i="16"/>
  <c r="K21" i="16" s="1"/>
  <c r="V16" i="12"/>
  <c r="E16" i="12" s="1"/>
  <c r="M16" i="12" s="1"/>
  <c r="K8" i="16" l="1"/>
  <c r="L7" i="16"/>
  <c r="M7" i="16" s="1"/>
  <c r="K9" i="16"/>
  <c r="B11" i="16"/>
  <c r="X16" i="1"/>
  <c r="T16" i="12" s="1"/>
  <c r="K25" i="1"/>
  <c r="N25" i="1" s="1"/>
  <c r="L8" i="16"/>
  <c r="M9" i="16" s="1"/>
  <c r="L24" i="1"/>
  <c r="M24" i="1"/>
  <c r="AC11" i="1"/>
  <c r="N11" i="1" s="1"/>
  <c r="V11" i="12"/>
  <c r="X9" i="16"/>
  <c r="AC16" i="1"/>
  <c r="AC15" i="1" s="1"/>
  <c r="O11" i="1"/>
  <c r="O24" i="1"/>
  <c r="C16" i="12"/>
  <c r="G20" i="16"/>
  <c r="O15" i="1"/>
  <c r="S16" i="1"/>
  <c r="O23" i="1"/>
  <c r="J16" i="12"/>
  <c r="C21" i="16"/>
  <c r="B24" i="16" s="1"/>
  <c r="C24" i="16"/>
  <c r="K24" i="16" s="1"/>
  <c r="L21" i="16" s="1"/>
  <c r="L24" i="16" s="1"/>
  <c r="A7" i="14"/>
  <c r="G7" i="14" s="1"/>
  <c r="Q16" i="12"/>
  <c r="A41" i="14"/>
  <c r="AF9" i="12"/>
  <c r="AG9" i="12" s="1"/>
  <c r="AH9" i="12" s="1"/>
  <c r="AI9" i="12" s="1"/>
  <c r="AJ9" i="12" s="1"/>
  <c r="AK9" i="12" s="1"/>
  <c r="AL9" i="12" s="1"/>
  <c r="AM9" i="12" s="1"/>
  <c r="AN9" i="12" s="1"/>
  <c r="AO9" i="12" s="1"/>
  <c r="AP9" i="12" s="1"/>
  <c r="AQ9" i="12" s="1"/>
  <c r="AR9" i="12" s="1"/>
  <c r="AS9" i="12" s="1"/>
  <c r="AT9" i="12" s="1"/>
  <c r="AU9" i="12" s="1"/>
  <c r="AV9" i="12" s="1"/>
  <c r="AW9" i="12" s="1"/>
  <c r="AX9" i="12" s="1"/>
  <c r="AY9" i="12" s="1"/>
  <c r="AZ9" i="12" s="1"/>
  <c r="M8" i="16"/>
  <c r="N7" i="16"/>
  <c r="L27" i="14"/>
  <c r="M15" i="12"/>
  <c r="H16" i="12"/>
  <c r="L9" i="16"/>
  <c r="A20" i="16" l="1"/>
  <c r="A21" i="16" s="1"/>
  <c r="A22" i="16" s="1"/>
  <c r="A23" i="16" s="1"/>
  <c r="A24" i="16" s="1"/>
  <c r="O25" i="1"/>
  <c r="L25" i="1"/>
  <c r="M25" i="1"/>
  <c r="R16" i="12"/>
  <c r="H11" i="12"/>
  <c r="U16" i="12" s="1"/>
  <c r="M26" i="14" s="1"/>
  <c r="G26" i="14" s="1"/>
  <c r="E11" i="12"/>
  <c r="Q11" i="12" s="1"/>
  <c r="J11" i="12"/>
  <c r="S11" i="1"/>
  <c r="N16" i="1"/>
  <c r="P16" i="12" s="1"/>
  <c r="W7" i="12" s="1"/>
  <c r="X16" i="12"/>
  <c r="N9" i="16"/>
  <c r="X13" i="12"/>
  <c r="Q15" i="12"/>
  <c r="N15" i="12" s="1"/>
  <c r="AB7" i="1"/>
  <c r="I19" i="16"/>
  <c r="J15" i="12"/>
  <c r="C32" i="14" s="1"/>
  <c r="O14" i="1"/>
  <c r="AA7" i="1"/>
  <c r="M21" i="16"/>
  <c r="M24" i="16" s="1"/>
  <c r="I20" i="16"/>
  <c r="L20" i="16" s="1"/>
  <c r="N16" i="12"/>
  <c r="W14" i="12"/>
  <c r="W13" i="12"/>
  <c r="W11" i="12"/>
  <c r="W16" i="12"/>
  <c r="L28" i="14"/>
  <c r="X14" i="12"/>
  <c r="N8" i="16"/>
  <c r="O7" i="16"/>
  <c r="X11" i="12"/>
  <c r="H7" i="12" l="1"/>
  <c r="O9" i="16"/>
  <c r="K20" i="16"/>
  <c r="M11" i="12"/>
  <c r="N11" i="12" s="1"/>
  <c r="U11" i="12" s="1"/>
  <c r="L16" i="12"/>
  <c r="M14" i="12" s="1"/>
  <c r="X7" i="12" s="1"/>
  <c r="Q14" i="12" s="1"/>
  <c r="N23" i="1"/>
  <c r="C23" i="16"/>
  <c r="B23" i="16" s="1"/>
  <c r="N15" i="1"/>
  <c r="P11" i="12"/>
  <c r="R11" i="12"/>
  <c r="M24" i="14"/>
  <c r="J24" i="14" s="1"/>
  <c r="J26" i="14"/>
  <c r="M27" i="14"/>
  <c r="J27" i="14" s="1"/>
  <c r="AC7" i="1"/>
  <c r="S7" i="1" s="1"/>
  <c r="M25" i="14"/>
  <c r="J25" i="14" s="1"/>
  <c r="E32" i="14"/>
  <c r="R12" i="12"/>
  <c r="E33" i="14" s="1"/>
  <c r="W8" i="12"/>
  <c r="X8" i="12" s="1"/>
  <c r="M28" i="14"/>
  <c r="L29" i="14"/>
  <c r="P7" i="16"/>
  <c r="O8" i="16"/>
  <c r="P9" i="16" s="1"/>
  <c r="D33" i="14"/>
  <c r="D32" i="14"/>
  <c r="M20" i="16"/>
  <c r="N21" i="16"/>
  <c r="G24" i="14"/>
  <c r="I26" i="14"/>
  <c r="H26" i="14"/>
  <c r="L11" i="12" l="1"/>
  <c r="G25" i="14"/>
  <c r="I25" i="14" s="1"/>
  <c r="G27" i="14"/>
  <c r="I27" i="14" s="1"/>
  <c r="K23" i="16"/>
  <c r="L23" i="16"/>
  <c r="M23" i="16"/>
  <c r="I18" i="16"/>
  <c r="N14" i="1"/>
  <c r="J14" i="12"/>
  <c r="AB11" i="1"/>
  <c r="AA11" i="1" s="1"/>
  <c r="AE11" i="1"/>
  <c r="AB16" i="1"/>
  <c r="AE16" i="1"/>
  <c r="N14" i="12"/>
  <c r="D31" i="14" s="1"/>
  <c r="E31" i="14"/>
  <c r="M29" i="14"/>
  <c r="L30" i="14"/>
  <c r="G28" i="14"/>
  <c r="J28" i="14"/>
  <c r="N24" i="16"/>
  <c r="I24" i="14"/>
  <c r="H24" i="14"/>
  <c r="Q7" i="16"/>
  <c r="P8" i="16"/>
  <c r="H25" i="14" l="1"/>
  <c r="H27" i="14"/>
  <c r="Q9" i="16"/>
  <c r="C31" i="14"/>
  <c r="AS7" i="12"/>
  <c r="AP7" i="12"/>
  <c r="AK7" i="12"/>
  <c r="AW7" i="12"/>
  <c r="AD7" i="12"/>
  <c r="AX7" i="12"/>
  <c r="AM7" i="12"/>
  <c r="AL7" i="12"/>
  <c r="Z7" i="12"/>
  <c r="AO7" i="12"/>
  <c r="AH7" i="12"/>
  <c r="AF7" i="12"/>
  <c r="AY7" i="12"/>
  <c r="AN7" i="12"/>
  <c r="AQ7" i="12"/>
  <c r="AG7" i="12"/>
  <c r="AE7" i="12"/>
  <c r="AC7" i="12"/>
  <c r="AZ7" i="12"/>
  <c r="AU7" i="12"/>
  <c r="AJ7" i="12"/>
  <c r="AT7" i="12"/>
  <c r="AR7" i="12"/>
  <c r="AI7" i="12"/>
  <c r="AA7" i="12"/>
  <c r="AV7" i="12"/>
  <c r="AF11" i="1"/>
  <c r="M11" i="1" s="1"/>
  <c r="AA16" i="1"/>
  <c r="AA15" i="1" s="1"/>
  <c r="AF16" i="1" s="1"/>
  <c r="M16" i="1" s="1"/>
  <c r="AB15" i="1"/>
  <c r="G29" i="14"/>
  <c r="J29" i="14"/>
  <c r="H28" i="14"/>
  <c r="I28" i="14"/>
  <c r="L31" i="14"/>
  <c r="M30" i="14"/>
  <c r="Q8" i="16"/>
  <c r="R7" i="16"/>
  <c r="R8" i="16" s="1"/>
  <c r="N20" i="16"/>
  <c r="N23" i="16" s="1"/>
  <c r="O21" i="16"/>
  <c r="R9" i="16" l="1"/>
  <c r="F6" i="12" s="1"/>
  <c r="D6" i="12" s="1"/>
  <c r="K16" i="12"/>
  <c r="M13" i="12" s="1"/>
  <c r="O16" i="12"/>
  <c r="W6" i="12" s="1"/>
  <c r="W5" i="12" s="1"/>
  <c r="C22" i="16"/>
  <c r="N22" i="16" s="1"/>
  <c r="M23" i="1"/>
  <c r="L16" i="1"/>
  <c r="M15" i="1"/>
  <c r="O11" i="12"/>
  <c r="L11" i="1"/>
  <c r="K11" i="12"/>
  <c r="O24" i="16"/>
  <c r="J30" i="14"/>
  <c r="G30" i="14"/>
  <c r="M31" i="14"/>
  <c r="L32" i="14"/>
  <c r="I29" i="14"/>
  <c r="H29" i="14"/>
  <c r="I17" i="16" l="1"/>
  <c r="M14" i="1"/>
  <c r="M7" i="1"/>
  <c r="N6" i="12" s="1"/>
  <c r="J13" i="12"/>
  <c r="L23" i="1"/>
  <c r="L15" i="1"/>
  <c r="K22" i="16"/>
  <c r="M22" i="16"/>
  <c r="B22" i="16"/>
  <c r="K19" i="16" s="1"/>
  <c r="K15" i="16" s="1"/>
  <c r="K10" i="16" s="1"/>
  <c r="L22" i="16"/>
  <c r="X6" i="12"/>
  <c r="M12" i="12"/>
  <c r="H30" i="14"/>
  <c r="I30" i="14"/>
  <c r="L33" i="14"/>
  <c r="M32" i="14"/>
  <c r="O20" i="16"/>
  <c r="P21" i="16"/>
  <c r="G31" i="14"/>
  <c r="J31" i="14"/>
  <c r="J12" i="12" l="1"/>
  <c r="C29" i="14" s="1"/>
  <c r="L14" i="1"/>
  <c r="L7" i="1"/>
  <c r="I16" i="16"/>
  <c r="K14" i="16"/>
  <c r="K18" i="16" s="1"/>
  <c r="L19" i="16"/>
  <c r="M19" i="16" s="1"/>
  <c r="AW6" i="12"/>
  <c r="AX6" i="12"/>
  <c r="AU6" i="12"/>
  <c r="C30" i="14"/>
  <c r="AM6" i="12"/>
  <c r="AP6" i="12"/>
  <c r="Z6" i="12"/>
  <c r="AY6" i="12"/>
  <c r="AT6" i="12"/>
  <c r="AL6" i="12"/>
  <c r="AV6" i="12"/>
  <c r="AD6" i="12"/>
  <c r="AO6" i="12"/>
  <c r="AF6" i="12"/>
  <c r="AC6" i="12"/>
  <c r="AA6" i="12"/>
  <c r="AG6" i="12"/>
  <c r="AI6" i="12"/>
  <c r="AK6" i="12"/>
  <c r="AH6" i="12"/>
  <c r="AJ6" i="12"/>
  <c r="AR6" i="12"/>
  <c r="AQ6" i="12"/>
  <c r="AN6" i="12"/>
  <c r="AS6" i="12"/>
  <c r="AZ6" i="12"/>
  <c r="AE6" i="12"/>
  <c r="Q13" i="12"/>
  <c r="X5" i="12"/>
  <c r="M33" i="14"/>
  <c r="L34" i="14"/>
  <c r="J32" i="14"/>
  <c r="G32" i="14"/>
  <c r="O23" i="16"/>
  <c r="O22" i="16"/>
  <c r="H31" i="14"/>
  <c r="I31" i="14"/>
  <c r="P24" i="16"/>
  <c r="K17" i="16" l="1"/>
  <c r="K12" i="16" s="1"/>
  <c r="L15" i="16"/>
  <c r="L10" i="16" s="1"/>
  <c r="M6" i="12"/>
  <c r="G6" i="1"/>
  <c r="L14" i="16"/>
  <c r="N13" i="12"/>
  <c r="D30" i="14" s="1"/>
  <c r="E30" i="14"/>
  <c r="Q12" i="12"/>
  <c r="Q21" i="16"/>
  <c r="P20" i="16"/>
  <c r="I32" i="14"/>
  <c r="H32" i="14"/>
  <c r="M14" i="16"/>
  <c r="N19" i="16"/>
  <c r="M15" i="16"/>
  <c r="M34" i="14"/>
  <c r="L35" i="14"/>
  <c r="K13" i="16"/>
  <c r="J33" i="14"/>
  <c r="G33" i="14"/>
  <c r="M10" i="16" l="1"/>
  <c r="L17" i="16"/>
  <c r="L12" i="16" s="1"/>
  <c r="K16" i="16"/>
  <c r="K11" i="16" s="1"/>
  <c r="E29" i="14"/>
  <c r="N12" i="12"/>
  <c r="D29" i="14" s="1"/>
  <c r="L18" i="16"/>
  <c r="L13" i="16" s="1"/>
  <c r="N15" i="16"/>
  <c r="N10" i="16" s="1"/>
  <c r="N14" i="16"/>
  <c r="O19" i="16"/>
  <c r="P23" i="16"/>
  <c r="P22" i="16"/>
  <c r="L36" i="14"/>
  <c r="M35" i="14"/>
  <c r="H33" i="14"/>
  <c r="I33" i="14"/>
  <c r="G34" i="14"/>
  <c r="J34" i="14"/>
  <c r="Q24" i="16"/>
  <c r="M17" i="16" l="1"/>
  <c r="M12" i="16" s="1"/>
  <c r="M18" i="16"/>
  <c r="M13" i="16" s="1"/>
  <c r="L16" i="16"/>
  <c r="L11" i="16" s="1"/>
  <c r="I34" i="14"/>
  <c r="H34" i="14"/>
  <c r="P19" i="16"/>
  <c r="O14" i="16"/>
  <c r="O15" i="16"/>
  <c r="O10" i="16" s="1"/>
  <c r="Q20" i="16"/>
  <c r="R21" i="16"/>
  <c r="R24" i="16" s="1"/>
  <c r="J35" i="14"/>
  <c r="G35" i="14"/>
  <c r="L37" i="14"/>
  <c r="M36" i="14"/>
  <c r="N17" i="16" l="1"/>
  <c r="N12" i="16" s="1"/>
  <c r="N18" i="16"/>
  <c r="N13" i="16" s="1"/>
  <c r="M16" i="16"/>
  <c r="M11" i="16" s="1"/>
  <c r="L38" i="14"/>
  <c r="M37" i="14"/>
  <c r="X21" i="16"/>
  <c r="X24" i="16" s="1"/>
  <c r="R20" i="16"/>
  <c r="Q19" i="16"/>
  <c r="P15" i="16"/>
  <c r="P10" i="16" s="1"/>
  <c r="P14" i="16"/>
  <c r="Q23" i="16"/>
  <c r="Q22" i="16"/>
  <c r="J36" i="14"/>
  <c r="G36" i="14"/>
  <c r="I35" i="14"/>
  <c r="H35" i="14"/>
  <c r="O17" i="16" l="1"/>
  <c r="O12" i="16" s="1"/>
  <c r="O18" i="16"/>
  <c r="O13" i="16" s="1"/>
  <c r="N16" i="16"/>
  <c r="N11" i="16" s="1"/>
  <c r="X19" i="16"/>
  <c r="X20" i="16"/>
  <c r="H36" i="14"/>
  <c r="I36" i="14"/>
  <c r="R23" i="16"/>
  <c r="R22" i="16"/>
  <c r="G37" i="14"/>
  <c r="J37" i="14"/>
  <c r="M38" i="14"/>
  <c r="L39" i="14"/>
  <c r="Q14" i="16"/>
  <c r="R19" i="16"/>
  <c r="Q15" i="16"/>
  <c r="Q10" i="16" s="1"/>
  <c r="P17" i="16" l="1"/>
  <c r="P12" i="16" s="1"/>
  <c r="P18" i="16"/>
  <c r="O16" i="16"/>
  <c r="O11" i="16" s="1"/>
  <c r="R14" i="16"/>
  <c r="R15" i="16"/>
  <c r="R10" i="16" s="1"/>
  <c r="M39" i="14"/>
  <c r="L40" i="14"/>
  <c r="X23" i="16"/>
  <c r="X22" i="16"/>
  <c r="J38" i="14"/>
  <c r="G38" i="14"/>
  <c r="X15" i="16"/>
  <c r="X10" i="16" s="1"/>
  <c r="X14" i="16"/>
  <c r="H37" i="14"/>
  <c r="I37" i="14"/>
  <c r="Q17" i="16" l="1"/>
  <c r="Q12" i="16" s="1"/>
  <c r="P16" i="16"/>
  <c r="P11" i="16" s="1"/>
  <c r="P13" i="16"/>
  <c r="Q18" i="16"/>
  <c r="Q13" i="16" s="1"/>
  <c r="J39" i="14"/>
  <c r="G39" i="14"/>
  <c r="X18" i="16"/>
  <c r="X17" i="16"/>
  <c r="X12" i="16" s="1"/>
  <c r="L41" i="14"/>
  <c r="M40" i="14"/>
  <c r="I38" i="14"/>
  <c r="H38" i="14"/>
  <c r="R18" i="16" l="1"/>
  <c r="R17" i="16"/>
  <c r="R12" i="16" s="1"/>
  <c r="Q16" i="16"/>
  <c r="Q11" i="16" s="1"/>
  <c r="G40" i="14"/>
  <c r="J40" i="14"/>
  <c r="L42" i="14"/>
  <c r="M41" i="14"/>
  <c r="X13" i="16"/>
  <c r="X16" i="16"/>
  <c r="X11" i="16" s="1"/>
  <c r="H39" i="14"/>
  <c r="I39" i="14"/>
  <c r="R16" i="16" l="1"/>
  <c r="R13" i="16"/>
  <c r="G41" i="14"/>
  <c r="J41" i="14"/>
  <c r="M42" i="14"/>
  <c r="L43" i="14"/>
  <c r="R11" i="16"/>
  <c r="E5" i="16"/>
  <c r="H40" i="14"/>
  <c r="I40" i="14"/>
  <c r="G42" i="14" l="1"/>
  <c r="J42" i="14"/>
  <c r="L44" i="14"/>
  <c r="M43" i="14"/>
  <c r="I41" i="14"/>
  <c r="H41" i="14"/>
  <c r="M44" i="14" l="1"/>
  <c r="L45" i="14"/>
  <c r="M45" i="14" s="1"/>
  <c r="G43" i="14"/>
  <c r="J43" i="14"/>
  <c r="H42" i="14"/>
  <c r="I42" i="14"/>
  <c r="J44" i="14" l="1"/>
  <c r="G44" i="14"/>
  <c r="I43" i="14"/>
  <c r="H43" i="14"/>
  <c r="G45" i="14"/>
  <c r="J45" i="14"/>
  <c r="H45" i="14" l="1"/>
  <c r="I45" i="14"/>
  <c r="H44" i="14"/>
  <c r="I44" i="14"/>
</calcChain>
</file>

<file path=xl/comments1.xml><?xml version="1.0" encoding="utf-8"?>
<comments xmlns="http://schemas.openxmlformats.org/spreadsheetml/2006/main">
  <authors>
    <author>Alexandre Bomfim</author>
  </authors>
  <commentList>
    <comment ref="L9" authorId="0" shapeId="0">
      <text>
        <r>
          <rPr>
            <sz val="9"/>
            <color indexed="81"/>
            <rFont val="Tahoma"/>
            <family val="2"/>
          </rPr>
          <t>Preencher os valores nas colunas à direita.</t>
        </r>
      </text>
    </comment>
    <comment ref="M9" authorId="0" shapeId="0">
      <text>
        <r>
          <rPr>
            <sz val="9"/>
            <color indexed="81"/>
            <rFont val="Tahoma"/>
            <family val="2"/>
          </rPr>
          <t>Preencher os valores nas colunas à direita.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Preencher os valores nas colunas à direita.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Preencher os valores nas colunas à direita.</t>
        </r>
      </text>
    </comment>
  </commentList>
</comments>
</file>

<file path=xl/comments2.xml><?xml version="1.0" encoding="utf-8"?>
<comments xmlns="http://schemas.openxmlformats.org/spreadsheetml/2006/main">
  <authors>
    <author>Alexandre Bomfim</author>
  </authors>
  <commentList>
    <comment ref="M9" authorId="0" shapeId="0">
      <text>
        <r>
          <rPr>
            <sz val="9"/>
            <color indexed="81"/>
            <rFont val="Tahoma"/>
            <family val="2"/>
          </rPr>
          <t>Preencha os valores nas colunas à direita.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>Preencha os valores nas colunas à direita.</t>
        </r>
      </text>
    </comment>
    <comment ref="Z15" authorId="0" shapeId="0">
      <text>
        <r>
          <rPr>
            <b/>
            <sz val="9"/>
            <color indexed="81"/>
            <rFont val="Tahoma"/>
            <family val="2"/>
          </rPr>
          <t xml:space="preserve">Aferição Anterior:
</t>
        </r>
        <r>
          <rPr>
            <sz val="9"/>
            <color indexed="81"/>
            <rFont val="Tahoma"/>
            <family val="2"/>
          </rPr>
          <t>Preencha nas células os valores aferidos acumulados no último RRE CAIXA.</t>
        </r>
      </text>
    </comment>
    <comment ref="AA15" authorId="0" shapeId="0">
      <text>
        <r>
          <rPr>
            <b/>
            <sz val="9"/>
            <color indexed="81"/>
            <rFont val="Tahoma"/>
            <family val="2"/>
          </rPr>
          <t xml:space="preserve">Aferição Atual:
</t>
        </r>
        <r>
          <rPr>
            <sz val="9"/>
            <color indexed="81"/>
            <rFont val="Tahoma"/>
            <family val="2"/>
          </rPr>
          <t>Preencha nas células os valores aferidos acumulados nesta medição.</t>
        </r>
      </text>
    </comment>
    <comment ref="AC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D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E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F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G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H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I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J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K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L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M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N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O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P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Q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R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S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T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U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V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W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X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Y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  <comment ref="AZ15" authorId="0" shapeId="0">
      <text>
        <r>
          <rPr>
            <b/>
            <sz val="9"/>
            <color indexed="81"/>
            <rFont val="Tahoma"/>
            <family val="2"/>
          </rPr>
          <t xml:space="preserve">Valores Medidos Acumulados:
</t>
        </r>
        <r>
          <rPr>
            <sz val="9"/>
            <color indexed="81"/>
            <rFont val="Tahoma"/>
            <family val="2"/>
          </rPr>
          <t>Preencha nas células os valores medidos acumulados para esta medição.
Só é necessário o preenchimento das Metas que tiveram alteração no período.</t>
        </r>
      </text>
    </comment>
  </commentList>
</comments>
</file>

<file path=xl/comments3.xml><?xml version="1.0" encoding="utf-8"?>
<comments xmlns="http://schemas.openxmlformats.org/spreadsheetml/2006/main">
  <authors>
    <author>Alexandre Bomfim</author>
  </authors>
  <commentList>
    <comment ref="H23" authorId="0" shapeId="0">
      <text>
        <r>
          <rPr>
            <b/>
            <sz val="9"/>
            <color indexed="81"/>
            <rFont val="Segoe UI"/>
            <family val="2"/>
          </rPr>
          <t>Nome do Fornecedor:</t>
        </r>
        <r>
          <rPr>
            <sz val="9"/>
            <color indexed="81"/>
            <rFont val="Segoe UI"/>
            <family val="2"/>
          </rPr>
          <t xml:space="preserve">
Faça o cadastro na aba Dados.</t>
        </r>
      </text>
    </comment>
  </commentList>
</comments>
</file>

<file path=xl/sharedStrings.xml><?xml version="1.0" encoding="utf-8"?>
<sst xmlns="http://schemas.openxmlformats.org/spreadsheetml/2006/main" count="407" uniqueCount="241">
  <si>
    <t>Meta</t>
  </si>
  <si>
    <t>Etapa</t>
  </si>
  <si>
    <t>Repasse</t>
  </si>
  <si>
    <t>Pavimentação</t>
  </si>
  <si>
    <t>Abastecimento de água</t>
  </si>
  <si>
    <t>Esgotamento sanitário</t>
  </si>
  <si>
    <t>Energia elétrica e iluminação pública</t>
  </si>
  <si>
    <t>Coleta e tratamento de resíduos sólidos</t>
  </si>
  <si>
    <t>Aquisição de equipamentos e insumos</t>
  </si>
  <si>
    <t>Elaboração de estudos e projetos</t>
  </si>
  <si>
    <t>Instrumentos e ações em planejamento e gestão pública</t>
  </si>
  <si>
    <t>Unidades habitacionais</t>
  </si>
  <si>
    <t>Equipamentos comunitários</t>
  </si>
  <si>
    <t>Regularização fundiária</t>
  </si>
  <si>
    <t xml:space="preserve">Acondicionamento </t>
  </si>
  <si>
    <t xml:space="preserve">Tratamento local </t>
  </si>
  <si>
    <t xml:space="preserve">Usinas de reciclagem </t>
  </si>
  <si>
    <t>Aquisição</t>
  </si>
  <si>
    <t>Saúde</t>
  </si>
  <si>
    <t>Pavimentação de vias</t>
  </si>
  <si>
    <t>Projeto de Regularização Fundiária</t>
  </si>
  <si>
    <t>Adução</t>
  </si>
  <si>
    <t>Gerenciamento</t>
  </si>
  <si>
    <t>Reforma e/ou melhoria</t>
  </si>
  <si>
    <t>Pavimentação de calçadas</t>
  </si>
  <si>
    <t>Captação subterrânea</t>
  </si>
  <si>
    <t>Captação superficial</t>
  </si>
  <si>
    <t>Emissário</t>
  </si>
  <si>
    <t>Canalização de cursos de água</t>
  </si>
  <si>
    <t>Estação de Tratamento de Água (ETA)</t>
  </si>
  <si>
    <t>Sinalização</t>
  </si>
  <si>
    <t>Estação Elevatória</t>
  </si>
  <si>
    <t>Desassoreamento de cursos de água</t>
  </si>
  <si>
    <t>Rede de distribuição</t>
  </si>
  <si>
    <t>Reservação</t>
  </si>
  <si>
    <t>Sistema simplificado de abastecimento</t>
  </si>
  <si>
    <t>Sistema simplificado de tratamento</t>
  </si>
  <si>
    <t>Segurança pública</t>
  </si>
  <si>
    <t>Esportes</t>
  </si>
  <si>
    <t>Educação e cultura</t>
  </si>
  <si>
    <t>Lazer e turismo</t>
  </si>
  <si>
    <t xml:space="preserve">Obras de microdrenagem </t>
  </si>
  <si>
    <t>Desapropriacões/Indenizações</t>
  </si>
  <si>
    <t>Sistema de coleta seletiva tradicional, transporte e/ou equipamentos</t>
  </si>
  <si>
    <t>Ligações domiciliares e/ou intradomiciliares</t>
  </si>
  <si>
    <t>Recomposição de vegetação ciliar, renaturalização de cursos de água ou restauração de margens</t>
  </si>
  <si>
    <t>Convivência comunitária, assistência social e/ou comunitária</t>
  </si>
  <si>
    <t xml:space="preserve">Drenagem </t>
  </si>
  <si>
    <t>Trabalho social</t>
  </si>
  <si>
    <t>Avaliação pós intervenção</t>
  </si>
  <si>
    <t>Plano de Reassentamento e medidas compensatórias</t>
  </si>
  <si>
    <t>Ações complementares às obras</t>
  </si>
  <si>
    <t>m</t>
  </si>
  <si>
    <t>m²</t>
  </si>
  <si>
    <t>un</t>
  </si>
  <si>
    <t>m³</t>
  </si>
  <si>
    <t>Construção</t>
  </si>
  <si>
    <t>Linha de recalque</t>
  </si>
  <si>
    <t>Estação de bombeamento de água bruta</t>
  </si>
  <si>
    <t>Estação de bombeamento de água tratada</t>
  </si>
  <si>
    <t>m³/s</t>
  </si>
  <si>
    <t>Demolições</t>
  </si>
  <si>
    <t>Aquisição de terreno</t>
  </si>
  <si>
    <t>Obras de artes especiais</t>
  </si>
  <si>
    <t>Reservatório de amortecimento de cheias</t>
  </si>
  <si>
    <t>Rede coletora e/ou condominial</t>
  </si>
  <si>
    <t>Coletor tronco e/ou interceptores</t>
  </si>
  <si>
    <t>Estação de Tratamento de Esgoto (ETE)</t>
  </si>
  <si>
    <t>Unidades sanitárias</t>
  </si>
  <si>
    <t>Iluminação pública - luminárias</t>
  </si>
  <si>
    <t xml:space="preserve">Linhas de distribuição - baixa tensão </t>
  </si>
  <si>
    <t xml:space="preserve">Linhas de transmissão - alta tensão </t>
  </si>
  <si>
    <t>Aterro sanitário e/ou disposição final</t>
  </si>
  <si>
    <t>Erradicação de lixões</t>
  </si>
  <si>
    <t xml:space="preserve">Contenção e estabilização de encostas </t>
  </si>
  <si>
    <t>Estabilização de taludes</t>
  </si>
  <si>
    <t>Obras complementares a ações de redução de risco e/ou contenções</t>
  </si>
  <si>
    <t>%CT</t>
  </si>
  <si>
    <t>QCI - QUADRO DE COMPOSIÇÃO DO INVESTIMENTO</t>
  </si>
  <si>
    <t>Ligações domiciliares</t>
  </si>
  <si>
    <t>Investimento</t>
  </si>
  <si>
    <t>TOTAL - ETAPA</t>
  </si>
  <si>
    <t>Situação</t>
  </si>
  <si>
    <t>TOTAL</t>
  </si>
  <si>
    <t>Acumulado (%)</t>
  </si>
  <si>
    <t>CFF-CT - CRONOGRAMA FÍSICO FINANCEIRO DO CONTRATO</t>
  </si>
  <si>
    <t>nº fam</t>
  </si>
  <si>
    <t>Projeto de Trabalho Social Preliminar</t>
  </si>
  <si>
    <t>Projeto de Trabalho Social</t>
  </si>
  <si>
    <t>Plano de Desenvolvimento Socioterritorial</t>
  </si>
  <si>
    <t>GESTOR</t>
  </si>
  <si>
    <t>PROGRAMA</t>
  </si>
  <si>
    <t>AÇÃO / MODALIDADE</t>
  </si>
  <si>
    <t>PROPONENTE / TOMADOR</t>
  </si>
  <si>
    <t>OBJETO</t>
  </si>
  <si>
    <t>LOCALIDADE / ENDEREÇO</t>
  </si>
  <si>
    <t>APELIDO DO EMPREENDIMENTO</t>
  </si>
  <si>
    <t>Meta / 
Sub-Meta</t>
  </si>
  <si>
    <t>Item de Investimento</t>
  </si>
  <si>
    <t>Sub-Item de Investimento</t>
  </si>
  <si>
    <t>Lote de Licitação / nº CTEF</t>
  </si>
  <si>
    <t>Lotes</t>
  </si>
  <si>
    <t>Adm. Direta</t>
  </si>
  <si>
    <t>Nº Meta</t>
  </si>
  <si>
    <t>Nº Sub-Meta</t>
  </si>
  <si>
    <t>MUNICÍPIO / UF</t>
  </si>
  <si>
    <t>Data:</t>
  </si>
  <si>
    <t>Local:</t>
  </si>
  <si>
    <t>Somar Meta</t>
  </si>
  <si>
    <t>Parcela</t>
  </si>
  <si>
    <t>Valores Totais (R$)</t>
  </si>
  <si>
    <t>(%)</t>
  </si>
  <si>
    <t>Invest. (R$)</t>
  </si>
  <si>
    <t>Contrapartida Financeira</t>
  </si>
  <si>
    <t>Acum. incluindo o Período</t>
  </si>
  <si>
    <t>#PUBLICO</t>
  </si>
  <si>
    <t>Grau de Sigilo</t>
  </si>
  <si>
    <t>Acum. Período Anterior</t>
  </si>
  <si>
    <t>No Período</t>
  </si>
  <si>
    <t># PÚBLICO</t>
  </si>
  <si>
    <t>À</t>
  </si>
  <si>
    <t>CAIXA ECONÔMICA FEDERAL</t>
  </si>
  <si>
    <t>Assunto:</t>
  </si>
  <si>
    <t>REF:</t>
  </si>
  <si>
    <t>Objeto:</t>
  </si>
  <si>
    <t>Nome do Fornecedor:</t>
  </si>
  <si>
    <t>Valor (R$):</t>
  </si>
  <si>
    <t>Atenciosamente,</t>
  </si>
  <si>
    <t>CTEF:</t>
  </si>
  <si>
    <t>Rel. Forn.</t>
  </si>
  <si>
    <t>CTEF</t>
  </si>
  <si>
    <t>QCI - Quadro de Composição do Investimento / RRE - Relatório Resumo do Empreendimento</t>
  </si>
  <si>
    <t>INSTRUÇÕES DE USO E PREENCHIMENTO</t>
  </si>
  <si>
    <t>2. Para funcionamento pleno desse arquivo, a Segurança de Macros do Excel deve ser habilitada.</t>
  </si>
  <si>
    <t>4. Ordem de Preenchimento</t>
  </si>
  <si>
    <t>4.1. Fase de Análise</t>
  </si>
  <si>
    <t>4.2. Fase de Licitação</t>
  </si>
  <si>
    <t>4.2.1. Atualize os Dados do QCI e Cronograma Físico-Financeiro.</t>
  </si>
  <si>
    <t>4.3. Fase de Solicitação de Recursos</t>
  </si>
  <si>
    <t>4.3.1. Preencha os Dados da Medição na Aba RRE - Relatório Resumo do Empreendimento.</t>
  </si>
  <si>
    <t>4.3.2. Preencha os Campos na Aba Ofício, para o Ofício de Solicitação de Recursos e Relação de Fornecedores.</t>
  </si>
  <si>
    <t>GIGOV</t>
  </si>
  <si>
    <t>Nome:</t>
  </si>
  <si>
    <t>Cargo:</t>
  </si>
  <si>
    <t>Representante Tomador / Agente Promotor</t>
  </si>
  <si>
    <t>Execução Física:</t>
  </si>
  <si>
    <t>Contrapartida Financeira:</t>
  </si>
  <si>
    <t>Investimento:</t>
  </si>
  <si>
    <t>2.1  Na Versão Excel 2003, selecione na Faixa de Opções: Ferramentas --&gt; Macro --&gt; Segurança --&gt; Na aba Nível de Segurança selecione a Opção "Baixo" --&gt; Clique em OK --&gt; Feche e abra o Excel novamente para utilizar a Planilha.</t>
  </si>
  <si>
    <t>2.2 Na Versão Excel 2007 ou superior, selecione na Faixa de Opções: Arquivo --&gt; Opções --&gt; Central de Confiabilidade --&gt; Configurações da Central de Confiabilidade --&gt; Configurações de Macro --&gt; Habilitar todas as Macros --&gt; Clique em OK --&gt; Feche e abra o excel novamente para utilizar a Planilha.</t>
  </si>
  <si>
    <t>3. O Preenchimento deve ser feito somente nas células em amarelo. As outras células são de preenchimento Automático.</t>
  </si>
  <si>
    <t>Plano de Gestão Condominial</t>
  </si>
  <si>
    <t>Valor Total (R$)</t>
  </si>
  <si>
    <t>4.1.1. Primeiramente, preencha no Quadro abaixo os Dados do TC/CR:</t>
  </si>
  <si>
    <t>sumvalue1</t>
  </si>
  <si>
    <t>Altura</t>
  </si>
  <si>
    <t>Total Etapa</t>
  </si>
  <si>
    <t>Itens de Investimento</t>
  </si>
  <si>
    <t>Sub-Itens de Investimento</t>
  </si>
  <si>
    <t>Acum. Incluindo o Período</t>
  </si>
  <si>
    <t>Percentual previsto em:</t>
  </si>
  <si>
    <t>Situação do TC/CR:</t>
  </si>
  <si>
    <t>Capeamento de vias</t>
  </si>
  <si>
    <t>Recapeamento de vias</t>
  </si>
  <si>
    <t>1. Informamos abaixo a relação de fornecedores para a Solicitação de Recursos referenciada:</t>
  </si>
  <si>
    <t>Ofício n°:</t>
  </si>
  <si>
    <t>Acum. Previsto</t>
  </si>
  <si>
    <t>Acum. Chegada</t>
  </si>
  <si>
    <t>RECURSO</t>
  </si>
  <si>
    <t>CP Financeira</t>
  </si>
  <si>
    <t>Valores Previstos</t>
  </si>
  <si>
    <t>Divisão do Investimento</t>
  </si>
  <si>
    <t>CP Fís / Outros</t>
  </si>
  <si>
    <t>% CP Min Prog:</t>
  </si>
  <si>
    <t>% Rateio CP Fin:</t>
  </si>
  <si>
    <t>Arred</t>
  </si>
  <si>
    <t>sumheight1</t>
  </si>
  <si>
    <t>Unid.</t>
  </si>
  <si>
    <t>Lote de Licitação
 / nº CTEF</t>
  </si>
  <si>
    <t>Saldo a Reprogramar:</t>
  </si>
  <si>
    <t>Saldo a Reprogramar</t>
  </si>
  <si>
    <t>CP. Financ.</t>
  </si>
  <si>
    <t>4.1.2. Digite abaixo os valores mínimos de Contrapartida exigidos pelo Programa.</t>
  </si>
  <si>
    <t>VALOR ABSOLUTO (R$)</t>
  </si>
  <si>
    <t>4.1.3. Clique no botão "Preencher QCI" abaixo.</t>
  </si>
  <si>
    <t>4.1.4. Preencha os Campos das Metas na Aba QCI - Quadro de Composição de Investimento.</t>
  </si>
  <si>
    <t>4.1.5. Preencha os Campos das Parcelas de Desembolso na Aba Crono - CFF-CT - Cronograma Físico-Financeiro do Contrato.</t>
  </si>
  <si>
    <t>% MÍNIMO</t>
  </si>
  <si>
    <t>% CP Absoluta:</t>
  </si>
  <si>
    <t>% CP Max Rep:</t>
  </si>
  <si>
    <t>% Maior:</t>
  </si>
  <si>
    <t>CP Fin. (R$)</t>
  </si>
  <si>
    <t>Aferição Atual</t>
  </si>
  <si>
    <t>Aferição Anterior</t>
  </si>
  <si>
    <t>Medição nº:</t>
  </si>
  <si>
    <t>Valores Aferidos Acumulados (R$)</t>
  </si>
  <si>
    <t>Medição Ant.</t>
  </si>
  <si>
    <t>Medição Acum.</t>
  </si>
  <si>
    <t>Valores Medidos Acumulados (R$)</t>
  </si>
  <si>
    <t>Vmax</t>
  </si>
  <si>
    <t>-</t>
  </si>
  <si>
    <t/>
  </si>
  <si>
    <t>Valores Medidos Acumulados</t>
  </si>
  <si>
    <t>Valores Vigentes do TC/CR</t>
  </si>
  <si>
    <t>CNPJ / CPF:</t>
  </si>
  <si>
    <t>Programa:</t>
  </si>
  <si>
    <t>Quantidade</t>
  </si>
  <si>
    <t>Proporcional</t>
  </si>
  <si>
    <t>Nº OPERAÇÃO</t>
  </si>
  <si>
    <t>Acum. Inv. (R$)</t>
  </si>
  <si>
    <t>Informação da 1ª Coluna</t>
  </si>
  <si>
    <t>Valores</t>
  </si>
  <si>
    <t>SOMASE</t>
  </si>
  <si>
    <t>Acumulado</t>
  </si>
  <si>
    <r>
      <t xml:space="preserve">1. Este documento somente pode ser utilizado nas versões do Excel 2003 ou superior. Não deve ser utilizado versões do BROffice. O Documento deve ser salvo </t>
    </r>
    <r>
      <rPr>
        <b/>
        <sz val="10"/>
        <rFont val="Arial"/>
        <family val="2"/>
      </rPr>
      <t>SOMENTE</t>
    </r>
    <r>
      <rPr>
        <sz val="10"/>
        <rFont val="Arial"/>
        <family val="2"/>
      </rPr>
      <t xml:space="preserve"> em extensão habilitada para macros </t>
    </r>
    <r>
      <rPr>
        <b/>
        <sz val="10"/>
        <rFont val="Arial"/>
        <family val="2"/>
      </rPr>
      <t>(.xls ou .xlsm)</t>
    </r>
    <r>
      <rPr>
        <sz val="10"/>
        <rFont val="Arial"/>
        <family val="2"/>
      </rPr>
      <t xml:space="preserve">. Se o documento for salvo na extensão </t>
    </r>
    <r>
      <rPr>
        <b/>
        <sz val="10"/>
        <rFont val="Arial"/>
        <family val="2"/>
      </rPr>
      <t>.xlsx</t>
    </r>
    <r>
      <rPr>
        <sz val="10"/>
        <rFont val="Arial"/>
        <family val="2"/>
      </rPr>
      <t xml:space="preserve">, o arquivo será </t>
    </r>
    <r>
      <rPr>
        <b/>
        <sz val="10"/>
        <rFont val="Arial"/>
        <family val="2"/>
      </rPr>
      <t>INUTILIZADO</t>
    </r>
    <r>
      <rPr>
        <sz val="10"/>
        <rFont val="Arial"/>
        <family val="2"/>
      </rPr>
      <t>.</t>
    </r>
  </si>
  <si>
    <t>Outros</t>
  </si>
  <si>
    <t>CONTRAPARTIDA</t>
  </si>
  <si>
    <t>INVESTIMENTO</t>
  </si>
  <si>
    <t>Contrapartida (R$)</t>
  </si>
  <si>
    <t>Execução Física Acum.</t>
  </si>
  <si>
    <t>nº do BM</t>
  </si>
  <si>
    <t>Nº SICONV</t>
  </si>
  <si>
    <t>RRET</t>
  </si>
  <si>
    <t>Observações:</t>
  </si>
  <si>
    <t>Benfeitorias</t>
  </si>
  <si>
    <t>v009</t>
  </si>
  <si>
    <t>VALORES CONTRATADOS (R$)</t>
  </si>
  <si>
    <t>Descrição da Meta / Sub-Meta</t>
  </si>
  <si>
    <t>Estação de Bombeamento</t>
  </si>
  <si>
    <t>4.2.2. Insira no Quadro abaixo os dados dos CTEFs.</t>
  </si>
  <si>
    <t>GIGOV/RS PASSO FUNDO</t>
  </si>
  <si>
    <t xml:space="preserve">MUNICPIO DE RONDINHA </t>
  </si>
  <si>
    <t>RONDINMHA / RS</t>
  </si>
  <si>
    <t>LINHA TUNAS</t>
  </si>
  <si>
    <t>PAVIMENTAÇÃO EM CBUQ</t>
  </si>
  <si>
    <t>OGU não-PAC</t>
  </si>
  <si>
    <t>Em Análise</t>
  </si>
  <si>
    <t>Lote 1</t>
  </si>
  <si>
    <t>958858/2024</t>
  </si>
  <si>
    <t>PAVIMENTAÇÃO EM ACESSO AO CENTRO DE EVENTOS DA LINHA TUNAS</t>
  </si>
  <si>
    <t>AÇÕES RALATIVAS AO DESENVOLVIMENTO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</si>
</sst>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R$&quot;\ * #,##0.00_-;\-&quot;R$&quot;\ * #,##0.00_-;_-&quot;R$&quot;\ * &quot;-&quot;??_-;_-@_-"/>
    <numFmt numFmtId="164" formatCode="_(&quot;R$&quot;* #,##0.00_);_(&quot;R$&quot;* \(#,##0.00\);_(&quot;R$&quot;* &quot;-&quot;??_);_(@_)"/>
    <numFmt numFmtId="165" formatCode="#,##0.00_ ;\-#,##0.00\ "/>
    <numFmt numFmtId="166" formatCode="[$-F800]dddd\,\ mmmm\ dd\,\ yyyy"/>
    <numFmt numFmtId="167" formatCode="&quot;R$ &quot;#,##0.00"/>
    <numFmt numFmtId="168" formatCode="[$-416]mmm\-yy;@"/>
    <numFmt numFmtId="169" formatCode="&quot;( &quot;0.00%&quot; )&quot;"/>
    <numFmt numFmtId="170" formatCode="@&quot; (R$)&quot;"/>
    <numFmt numFmtId="171" formatCode="_-#,##0.00_-;\-#,##0.00_-;_-\ &quot;-&quot;??_-;_-@_-"/>
    <numFmt numFmtId="172" formatCode="_-#,##0.00_-;\-#,##0.00_-;_-&quot;-&quot;??_-;_-@_-"/>
    <numFmt numFmtId="173" formatCode="General;General;"/>
    <numFmt numFmtId="174" formatCode="&quot;Medição &quot;#"/>
    <numFmt numFmtId="175" formatCode="_-#,##0.00%_-;\-#,##0.00%_-;_-\ &quot;-&quot;??_-;_-@_-"/>
    <numFmt numFmtId="176" formatCode="dd\ &quot;de&quot;\ mmmm\ &quot;de&quot;\ yyyy"/>
  </numFmts>
  <fonts count="4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8"/>
      <color indexed="54"/>
      <name val="Calibri Light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  <font>
      <sz val="10"/>
      <color indexed="55"/>
      <name val="Arial"/>
      <family val="2"/>
    </font>
    <font>
      <sz val="10"/>
      <color indexed="22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indexed="10"/>
      <name val="Arial"/>
      <family val="2"/>
    </font>
    <font>
      <sz val="8"/>
      <color indexed="63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9"/>
      <name val="Arial"/>
      <family val="2"/>
    </font>
    <font>
      <sz val="8"/>
      <color rgb="FF000000"/>
      <name val="Segoe UI"/>
      <family val="2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lightUp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CC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8" borderId="0" applyNumberFormat="0" applyBorder="0" applyAlignment="0" applyProtection="0"/>
    <xf numFmtId="0" fontId="23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1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2" borderId="0" applyNumberFormat="0" applyBorder="0" applyAlignment="0" applyProtection="0"/>
    <xf numFmtId="0" fontId="13" fillId="17" borderId="0" applyNumberFormat="0" applyBorder="0" applyAlignment="0" applyProtection="0"/>
    <xf numFmtId="0" fontId="17" fillId="9" borderId="1" applyNumberFormat="0" applyAlignment="0" applyProtection="0"/>
    <xf numFmtId="0" fontId="19" fillId="14" borderId="2" applyNumberFormat="0" applyAlignment="0" applyProtection="0"/>
    <xf numFmtId="0" fontId="23" fillId="0" borderId="0"/>
    <xf numFmtId="0" fontId="2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5" fillId="3" borderId="1" applyNumberFormat="0" applyAlignment="0" applyProtection="0"/>
    <xf numFmtId="0" fontId="18" fillId="0" borderId="3" applyNumberFormat="0" applyFill="0" applyAlignment="0" applyProtection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10" borderId="0" applyNumberFormat="0" applyBorder="0" applyAlignment="0" applyProtection="0"/>
    <xf numFmtId="0" fontId="3" fillId="0" borderId="0"/>
    <xf numFmtId="0" fontId="2" fillId="0" borderId="0"/>
    <xf numFmtId="0" fontId="1" fillId="5" borderId="7" applyNumberFormat="0" applyFont="0" applyAlignment="0" applyProtection="0"/>
    <xf numFmtId="0" fontId="16" fillId="9" borderId="8" applyNumberFormat="0" applyAlignment="0" applyProtection="0"/>
    <xf numFmtId="0" fontId="25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77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/>
    <xf numFmtId="0" fontId="5" fillId="0" borderId="0" xfId="0" applyFont="1" applyProtection="1"/>
    <xf numFmtId="0" fontId="0" fillId="0" borderId="0" xfId="0" applyAlignment="1" applyProtection="1">
      <alignment vertical="center" wrapText="1"/>
    </xf>
    <xf numFmtId="0" fontId="6" fillId="0" borderId="0" xfId="0" applyFont="1" applyProtection="1"/>
    <xf numFmtId="0" fontId="0" fillId="0" borderId="0" xfId="0" applyBorder="1" applyAlignment="1" applyProtection="1">
      <alignment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0" fillId="0" borderId="0" xfId="0" applyAlignment="1">
      <alignment horizontal="left"/>
    </xf>
    <xf numFmtId="0" fontId="8" fillId="0" borderId="0" xfId="0" applyFont="1" applyProtection="1"/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Border="1" applyProtection="1"/>
    <xf numFmtId="0" fontId="26" fillId="0" borderId="0" xfId="40" applyFont="1" applyFill="1" applyBorder="1" applyAlignment="1" applyProtection="1">
      <alignment horizontal="left"/>
    </xf>
    <xf numFmtId="0" fontId="3" fillId="0" borderId="0" xfId="40"/>
    <xf numFmtId="0" fontId="2" fillId="0" borderId="0" xfId="40" applyFont="1" applyFill="1" applyBorder="1" applyAlignment="1" applyProtection="1">
      <alignment horizontal="left"/>
    </xf>
    <xf numFmtId="0" fontId="24" fillId="0" borderId="0" xfId="0" applyFont="1" applyBorder="1" applyAlignment="1" applyProtection="1">
      <alignment vertical="center" wrapText="1"/>
    </xf>
    <xf numFmtId="0" fontId="5" fillId="0" borderId="0" xfId="0" applyFont="1" applyFill="1" applyProtection="1"/>
    <xf numFmtId="0" fontId="30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0" fillId="0" borderId="0" xfId="0" applyFill="1" applyProtection="1"/>
    <xf numFmtId="0" fontId="3" fillId="0" borderId="0" xfId="0" applyFont="1" applyProtection="1"/>
    <xf numFmtId="0" fontId="8" fillId="0" borderId="0" xfId="0" applyFont="1" applyFill="1" applyAlignment="1" applyProtection="1"/>
    <xf numFmtId="0" fontId="8" fillId="0" borderId="0" xfId="0" applyFont="1" applyAlignment="1" applyProtection="1">
      <alignment vertical="center" wrapText="1"/>
    </xf>
    <xf numFmtId="0" fontId="1" fillId="0" borderId="0" xfId="0" applyFont="1" applyFill="1" applyAlignment="1" applyProtection="1"/>
    <xf numFmtId="0" fontId="1" fillId="0" borderId="0" xfId="0" applyFont="1" applyAlignment="1" applyProtection="1">
      <alignment vertical="center" wrapText="1"/>
    </xf>
    <xf numFmtId="0" fontId="26" fillId="0" borderId="0" xfId="40" applyFont="1" applyFill="1" applyBorder="1" applyAlignment="1" applyProtection="1">
      <alignment vertical="top"/>
    </xf>
    <xf numFmtId="0" fontId="2" fillId="0" borderId="0" xfId="40" applyNumberFormat="1" applyFont="1" applyFill="1" applyBorder="1" applyAlignment="1" applyProtection="1">
      <alignment horizontal="left"/>
    </xf>
    <xf numFmtId="0" fontId="0" fillId="0" borderId="0" xfId="0" applyBorder="1"/>
    <xf numFmtId="4" fontId="0" fillId="18" borderId="9" xfId="0" applyNumberFormat="1" applyFill="1" applyBorder="1" applyAlignment="1" applyProtection="1">
      <alignment horizontal="left" vertical="top" wrapText="1"/>
      <protection locked="0"/>
    </xf>
    <xf numFmtId="0" fontId="5" fillId="0" borderId="0" xfId="41" applyFont="1" applyBorder="1" applyAlignment="1" applyProtection="1">
      <alignment vertical="top"/>
    </xf>
    <xf numFmtId="0" fontId="5" fillId="0" borderId="10" xfId="41" applyFont="1" applyBorder="1" applyAlignment="1" applyProtection="1">
      <alignment vertical="top" wrapText="1"/>
    </xf>
    <xf numFmtId="0" fontId="5" fillId="0" borderId="0" xfId="41" applyFont="1" applyBorder="1" applyAlignment="1" applyProtection="1">
      <alignment vertical="top" wrapText="1"/>
    </xf>
    <xf numFmtId="0" fontId="0" fillId="0" borderId="10" xfId="0" applyBorder="1" applyProtection="1"/>
    <xf numFmtId="0" fontId="0" fillId="0" borderId="10" xfId="0" applyBorder="1" applyAlignment="1" applyProtection="1">
      <alignment horizontal="center"/>
    </xf>
    <xf numFmtId="0" fontId="5" fillId="0" borderId="0" xfId="41" applyFont="1" applyBorder="1" applyAlignment="1" applyProtection="1">
      <alignment horizontal="left" vertical="top" wrapText="1"/>
    </xf>
    <xf numFmtId="0" fontId="0" fillId="0" borderId="10" xfId="0" applyBorder="1" applyAlignment="1" applyProtection="1">
      <alignment horizontal="left" vertical="center" wrapText="1"/>
    </xf>
    <xf numFmtId="0" fontId="5" fillId="0" borderId="0" xfId="41" applyFont="1" applyBorder="1" applyAlignment="1" applyProtection="1">
      <alignment horizontal="right" vertical="top"/>
    </xf>
    <xf numFmtId="0" fontId="5" fillId="0" borderId="0" xfId="41" applyFont="1" applyBorder="1" applyAlignment="1" applyProtection="1">
      <alignment horizontal="left" vertical="top"/>
    </xf>
    <xf numFmtId="0" fontId="5" fillId="0" borderId="10" xfId="41" applyFont="1" applyBorder="1" applyAlignment="1" applyProtection="1">
      <alignment horizontal="left" vertical="top"/>
    </xf>
    <xf numFmtId="0" fontId="0" fillId="0" borderId="10" xfId="0" applyBorder="1" applyAlignment="1" applyProtection="1"/>
    <xf numFmtId="0" fontId="5" fillId="0" borderId="10" xfId="41" applyFont="1" applyBorder="1" applyAlignment="1" applyProtection="1">
      <alignment horizontal="right" vertical="top" wrapText="1"/>
    </xf>
    <xf numFmtId="0" fontId="5" fillId="0" borderId="11" xfId="41" applyFont="1" applyBorder="1" applyAlignment="1" applyProtection="1">
      <alignment vertical="top"/>
    </xf>
    <xf numFmtId="0" fontId="2" fillId="0" borderId="0" xfId="40" applyNumberFormat="1" applyFont="1" applyFill="1" applyBorder="1" applyAlignment="1" applyProtection="1">
      <alignment vertical="top" wrapText="1"/>
    </xf>
    <xf numFmtId="0" fontId="2" fillId="0" borderId="0" xfId="40" applyNumberFormat="1" applyFont="1" applyFill="1" applyBorder="1" applyAlignment="1" applyProtection="1"/>
    <xf numFmtId="0" fontId="2" fillId="0" borderId="0" xfId="40" applyNumberFormat="1" applyFont="1" applyFill="1" applyBorder="1" applyAlignment="1" applyProtection="1">
      <alignment vertical="top"/>
    </xf>
    <xf numFmtId="166" fontId="2" fillId="0" borderId="0" xfId="40" applyNumberFormat="1" applyFont="1" applyFill="1" applyBorder="1" applyAlignment="1" applyProtection="1">
      <alignment vertical="top"/>
    </xf>
    <xf numFmtId="0" fontId="5" fillId="0" borderId="0" xfId="0" applyFont="1" applyAlignment="1" applyProtection="1"/>
    <xf numFmtId="0" fontId="5" fillId="0" borderId="0" xfId="0" applyFont="1" applyAlignment="1" applyProtection="1">
      <alignment horizontal="center"/>
    </xf>
    <xf numFmtId="14" fontId="0" fillId="0" borderId="0" xfId="0" applyNumberFormat="1" applyProtection="1"/>
    <xf numFmtId="0" fontId="8" fillId="0" borderId="0" xfId="0" applyFont="1" applyAlignment="1" applyProtection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9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center"/>
    </xf>
    <xf numFmtId="0" fontId="0" fillId="0" borderId="12" xfId="0" applyBorder="1"/>
    <xf numFmtId="0" fontId="5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center" vertical="center" wrapText="1"/>
    </xf>
    <xf numFmtId="165" fontId="0" fillId="0" borderId="0" xfId="0" applyNumberFormat="1" applyBorder="1" applyAlignment="1" applyProtection="1">
      <alignment horizontal="center"/>
    </xf>
    <xf numFmtId="0" fontId="29" fillId="0" borderId="0" xfId="0" applyFont="1" applyAlignment="1" applyProtection="1">
      <alignment horizontal="center" vertical="center" wrapText="1"/>
    </xf>
    <xf numFmtId="166" fontId="2" fillId="0" borderId="0" xfId="40" applyNumberFormat="1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wrapText="1"/>
    </xf>
    <xf numFmtId="165" fontId="5" fillId="0" borderId="13" xfId="37" applyNumberFormat="1" applyFont="1" applyFill="1" applyBorder="1" applyAlignment="1" applyProtection="1">
      <alignment horizontal="right" vertical="center" shrinkToFit="1"/>
    </xf>
    <xf numFmtId="0" fontId="1" fillId="0" borderId="0" xfId="0" applyFont="1" applyFill="1" applyProtection="1"/>
    <xf numFmtId="0" fontId="1" fillId="0" borderId="0" xfId="0" applyFont="1" applyFill="1" applyAlignment="1" applyProtection="1">
      <alignment vertical="center" wrapText="1"/>
    </xf>
    <xf numFmtId="4" fontId="1" fillId="0" borderId="0" xfId="0" applyNumberFormat="1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center" vertical="center" wrapText="1"/>
    </xf>
    <xf numFmtId="10" fontId="0" fillId="0" borderId="0" xfId="0" applyNumberFormat="1" applyFill="1" applyAlignment="1" applyProtection="1"/>
    <xf numFmtId="2" fontId="5" fillId="0" borderId="14" xfId="0" applyNumberFormat="1" applyFont="1" applyFill="1" applyBorder="1" applyAlignment="1" applyProtection="1">
      <alignment horizontal="center" vertical="center" wrapText="1"/>
    </xf>
    <xf numFmtId="3" fontId="3" fillId="19" borderId="15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 wrapText="1"/>
    </xf>
    <xf numFmtId="10" fontId="0" fillId="18" borderId="9" xfId="0" applyNumberFormat="1" applyFill="1" applyBorder="1" applyAlignment="1" applyProtection="1">
      <alignment wrapText="1"/>
      <protection locked="0"/>
    </xf>
    <xf numFmtId="10" fontId="8" fillId="0" borderId="0" xfId="0" applyNumberFormat="1" applyFont="1" applyAlignment="1" applyProtection="1">
      <alignment vertical="center" wrapText="1"/>
    </xf>
    <xf numFmtId="4" fontId="8" fillId="0" borderId="13" xfId="0" applyNumberFormat="1" applyFont="1" applyBorder="1" applyAlignment="1" applyProtection="1">
      <alignment vertical="center" wrapText="1"/>
    </xf>
    <xf numFmtId="4" fontId="0" fillId="0" borderId="0" xfId="0" applyNumberFormat="1" applyProtection="1"/>
    <xf numFmtId="4" fontId="8" fillId="0" borderId="0" xfId="37" applyNumberFormat="1" applyFont="1" applyAlignment="1" applyProtection="1">
      <alignment vertical="center" wrapText="1"/>
    </xf>
    <xf numFmtId="4" fontId="8" fillId="0" borderId="0" xfId="0" applyNumberFormat="1" applyFont="1" applyAlignment="1" applyProtection="1">
      <alignment vertical="center" wrapText="1"/>
    </xf>
    <xf numFmtId="0" fontId="29" fillId="0" borderId="0" xfId="0" applyFont="1" applyProtection="1"/>
    <xf numFmtId="0" fontId="1" fillId="18" borderId="14" xfId="0" applyFont="1" applyFill="1" applyBorder="1" applyAlignment="1" applyProtection="1">
      <alignment horizontal="center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center" wrapText="1"/>
    </xf>
    <xf numFmtId="0" fontId="31" fillId="20" borderId="12" xfId="0" applyFont="1" applyFill="1" applyBorder="1" applyAlignment="1" applyProtection="1">
      <alignment horizontal="center" vertical="center" wrapText="1"/>
    </xf>
    <xf numFmtId="0" fontId="0" fillId="20" borderId="17" xfId="0" applyFill="1" applyBorder="1" applyAlignment="1" applyProtection="1">
      <alignment horizontal="center" vertical="center" wrapText="1"/>
    </xf>
    <xf numFmtId="0" fontId="0" fillId="20" borderId="18" xfId="0" applyFill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0" fillId="19" borderId="19" xfId="0" applyFill="1" applyBorder="1" applyAlignment="1" applyProtection="1">
      <alignment vertical="center" wrapText="1"/>
    </xf>
    <xf numFmtId="169" fontId="2" fillId="19" borderId="20" xfId="37" applyNumberFormat="1" applyFont="1" applyFill="1" applyBorder="1" applyAlignment="1" applyProtection="1">
      <alignment horizontal="center" vertical="center" wrapText="1"/>
    </xf>
    <xf numFmtId="169" fontId="2" fillId="19" borderId="21" xfId="37" applyNumberFormat="1" applyFont="1" applyFill="1" applyBorder="1" applyAlignment="1" applyProtection="1">
      <alignment horizontal="center" vertical="center" wrapText="1"/>
    </xf>
    <xf numFmtId="0" fontId="0" fillId="19" borderId="22" xfId="0" applyFill="1" applyBorder="1" applyAlignment="1" applyProtection="1">
      <alignment vertical="center" wrapText="1"/>
    </xf>
    <xf numFmtId="171" fontId="28" fillId="19" borderId="10" xfId="37" applyNumberFormat="1" applyFont="1" applyFill="1" applyBorder="1" applyAlignment="1" applyProtection="1">
      <alignment horizontal="center" vertical="center" shrinkToFit="1"/>
    </xf>
    <xf numFmtId="172" fontId="28" fillId="19" borderId="9" xfId="37" applyNumberFormat="1" applyFont="1" applyFill="1" applyBorder="1" applyAlignment="1" applyProtection="1">
      <alignment horizontal="center" vertical="center" shrinkToFit="1"/>
    </xf>
    <xf numFmtId="0" fontId="5" fillId="19" borderId="19" xfId="0" applyFont="1" applyFill="1" applyBorder="1" applyAlignment="1" applyProtection="1">
      <alignment vertical="center" wrapText="1"/>
    </xf>
    <xf numFmtId="0" fontId="5" fillId="19" borderId="22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29" fillId="20" borderId="17" xfId="0" applyFont="1" applyFill="1" applyBorder="1" applyAlignment="1" applyProtection="1">
      <alignment horizontal="center" vertical="center" wrapText="1"/>
    </xf>
    <xf numFmtId="0" fontId="1" fillId="0" borderId="23" xfId="0" applyFont="1" applyFill="1" applyBorder="1" applyAlignment="1" applyProtection="1">
      <alignment vertical="center" wrapText="1"/>
    </xf>
    <xf numFmtId="0" fontId="8" fillId="0" borderId="24" xfId="0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horizontal="center" vertical="center" wrapText="1"/>
    </xf>
    <xf numFmtId="0" fontId="1" fillId="0" borderId="24" xfId="0" applyFont="1" applyFill="1" applyBorder="1" applyAlignment="1" applyProtection="1">
      <alignment vertical="center" wrapText="1"/>
    </xf>
    <xf numFmtId="0" fontId="0" fillId="19" borderId="21" xfId="0" applyFill="1" applyBorder="1" applyAlignment="1" applyProtection="1">
      <alignment vertical="center" wrapText="1"/>
    </xf>
    <xf numFmtId="0" fontId="0" fillId="19" borderId="15" xfId="0" applyFill="1" applyBorder="1" applyAlignment="1" applyProtection="1">
      <alignment vertical="center" wrapText="1"/>
    </xf>
    <xf numFmtId="0" fontId="0" fillId="19" borderId="25" xfId="0" applyFill="1" applyBorder="1" applyAlignment="1" applyProtection="1">
      <alignment vertical="center" wrapText="1"/>
    </xf>
    <xf numFmtId="0" fontId="0" fillId="19" borderId="11" xfId="0" applyFill="1" applyBorder="1" applyAlignment="1" applyProtection="1">
      <alignment vertical="center" wrapText="1"/>
    </xf>
    <xf numFmtId="0" fontId="0" fillId="19" borderId="26" xfId="0" applyFill="1" applyBorder="1" applyAlignment="1" applyProtection="1">
      <alignment vertical="center" wrapText="1"/>
    </xf>
    <xf numFmtId="0" fontId="0" fillId="19" borderId="16" xfId="0" applyFill="1" applyBorder="1" applyAlignment="1" applyProtection="1">
      <alignment vertical="center" wrapText="1"/>
    </xf>
    <xf numFmtId="0" fontId="35" fillId="19" borderId="9" xfId="0" applyFont="1" applyFill="1" applyBorder="1" applyAlignment="1" applyProtection="1">
      <alignment vertical="center" wrapText="1"/>
    </xf>
    <xf numFmtId="0" fontId="8" fillId="0" borderId="27" xfId="0" applyFont="1" applyFill="1" applyBorder="1" applyAlignment="1" applyProtection="1">
      <alignment horizontal="center" vertical="center" wrapText="1"/>
    </xf>
    <xf numFmtId="173" fontId="8" fillId="0" borderId="27" xfId="0" applyNumberFormat="1" applyFont="1" applyFill="1" applyBorder="1" applyAlignment="1" applyProtection="1">
      <alignment horizontal="left" vertical="center" wrapText="1"/>
    </xf>
    <xf numFmtId="173" fontId="3" fillId="0" borderId="27" xfId="0" applyNumberFormat="1" applyFont="1" applyFill="1" applyBorder="1" applyAlignment="1" applyProtection="1">
      <alignment horizontal="center" vertical="center" wrapText="1"/>
    </xf>
    <xf numFmtId="0" fontId="5" fillId="19" borderId="21" xfId="0" applyFont="1" applyFill="1" applyBorder="1" applyAlignment="1" applyProtection="1">
      <alignment vertical="center" wrapText="1"/>
    </xf>
    <xf numFmtId="0" fontId="5" fillId="19" borderId="15" xfId="0" applyFont="1" applyFill="1" applyBorder="1" applyAlignment="1" applyProtection="1">
      <alignment vertical="center" wrapText="1"/>
    </xf>
    <xf numFmtId="0" fontId="5" fillId="19" borderId="11" xfId="0" applyFont="1" applyFill="1" applyBorder="1" applyAlignment="1" applyProtection="1">
      <alignment vertical="center" wrapText="1"/>
    </xf>
    <xf numFmtId="0" fontId="5" fillId="19" borderId="26" xfId="0" applyFont="1" applyFill="1" applyBorder="1" applyAlignment="1" applyProtection="1">
      <alignment vertical="center" wrapText="1"/>
    </xf>
    <xf numFmtId="0" fontId="0" fillId="19" borderId="9" xfId="0" applyFill="1" applyBorder="1" applyAlignment="1" applyProtection="1">
      <alignment vertical="center" wrapText="1"/>
    </xf>
    <xf numFmtId="0" fontId="5" fillId="19" borderId="9" xfId="0" applyFont="1" applyFill="1" applyBorder="1" applyAlignment="1" applyProtection="1">
      <alignment vertical="center" wrapText="1"/>
    </xf>
    <xf numFmtId="0" fontId="5" fillId="19" borderId="28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 shrinkToFit="1"/>
    </xf>
    <xf numFmtId="4" fontId="5" fillId="19" borderId="25" xfId="0" applyNumberFormat="1" applyFont="1" applyFill="1" applyBorder="1" applyAlignment="1" applyProtection="1">
      <alignment vertical="center" wrapText="1"/>
    </xf>
    <xf numFmtId="0" fontId="5" fillId="19" borderId="16" xfId="0" applyFont="1" applyFill="1" applyBorder="1" applyAlignment="1" applyProtection="1">
      <alignment vertical="center" wrapText="1"/>
    </xf>
    <xf numFmtId="0" fontId="5" fillId="19" borderId="29" xfId="0" applyFont="1" applyFill="1" applyBorder="1" applyAlignment="1" applyProtection="1">
      <alignment vertical="center" wrapText="1"/>
    </xf>
    <xf numFmtId="4" fontId="24" fillId="0" borderId="21" xfId="0" applyNumberFormat="1" applyFont="1" applyBorder="1" applyAlignment="1" applyProtection="1">
      <alignment horizontal="center"/>
    </xf>
    <xf numFmtId="165" fontId="0" fillId="0" borderId="9" xfId="0" applyNumberFormat="1" applyBorder="1" applyAlignment="1" applyProtection="1">
      <alignment horizontal="center" shrinkToFit="1"/>
    </xf>
    <xf numFmtId="168" fontId="5" fillId="0" borderId="10" xfId="0" applyNumberFormat="1" applyFont="1" applyBorder="1" applyAlignment="1" applyProtection="1">
      <alignment horizontal="center"/>
    </xf>
    <xf numFmtId="0" fontId="5" fillId="0" borderId="21" xfId="0" applyFont="1" applyBorder="1" applyAlignment="1" applyProtection="1">
      <alignment horizontal="center"/>
    </xf>
    <xf numFmtId="172" fontId="24" fillId="0" borderId="9" xfId="37" applyNumberFormat="1" applyFont="1" applyFill="1" applyBorder="1" applyAlignment="1" applyProtection="1">
      <alignment horizontal="center" vertical="center" shrinkToFit="1"/>
    </xf>
    <xf numFmtId="0" fontId="5" fillId="19" borderId="30" xfId="0" applyFont="1" applyFill="1" applyBorder="1" applyAlignment="1" applyProtection="1">
      <alignment vertical="center" wrapText="1"/>
    </xf>
    <xf numFmtId="0" fontId="5" fillId="19" borderId="31" xfId="0" applyFont="1" applyFill="1" applyBorder="1" applyAlignment="1" applyProtection="1">
      <alignment vertical="center" wrapText="1"/>
    </xf>
    <xf numFmtId="10" fontId="8" fillId="0" borderId="0" xfId="0" applyNumberFormat="1" applyFont="1" applyAlignment="1" applyProtection="1">
      <alignment horizontal="center" vertical="center" wrapText="1"/>
    </xf>
    <xf numFmtId="0" fontId="8" fillId="0" borderId="27" xfId="0" applyFont="1" applyFill="1" applyBorder="1" applyAlignment="1" applyProtection="1">
      <alignment vertical="center" wrapText="1"/>
    </xf>
    <xf numFmtId="0" fontId="0" fillId="20" borderId="12" xfId="0" applyFill="1" applyBorder="1" applyAlignment="1" applyProtection="1">
      <alignment horizontal="center" vertical="center" wrapText="1"/>
    </xf>
    <xf numFmtId="168" fontId="7" fillId="0" borderId="10" xfId="0" applyNumberFormat="1" applyFont="1" applyBorder="1" applyAlignment="1" applyProtection="1">
      <alignment horizontal="center" vertical="center" wrapText="1"/>
    </xf>
    <xf numFmtId="0" fontId="5" fillId="19" borderId="9" xfId="0" applyFont="1" applyFill="1" applyBorder="1" applyProtection="1"/>
    <xf numFmtId="0" fontId="0" fillId="0" borderId="20" xfId="0" applyBorder="1"/>
    <xf numFmtId="0" fontId="8" fillId="0" borderId="32" xfId="0" applyFont="1" applyFill="1" applyBorder="1" applyAlignment="1" applyProtection="1">
      <alignment horizontal="center" vertical="center" wrapText="1"/>
    </xf>
    <xf numFmtId="0" fontId="0" fillId="19" borderId="33" xfId="0" applyFill="1" applyBorder="1" applyAlignment="1" applyProtection="1">
      <alignment vertical="center" wrapText="1"/>
    </xf>
    <xf numFmtId="0" fontId="0" fillId="19" borderId="34" xfId="0" applyFill="1" applyBorder="1" applyAlignment="1" applyProtection="1">
      <alignment vertical="center" wrapText="1"/>
    </xf>
    <xf numFmtId="0" fontId="1" fillId="18" borderId="35" xfId="0" applyFont="1" applyFill="1" applyBorder="1" applyAlignment="1" applyProtection="1">
      <alignment horizontal="center" vertical="center" wrapText="1"/>
      <protection locked="0"/>
    </xf>
    <xf numFmtId="169" fontId="2" fillId="19" borderId="15" xfId="37" applyNumberFormat="1" applyFont="1" applyFill="1" applyBorder="1" applyAlignment="1" applyProtection="1">
      <alignment horizontal="center" vertical="center" wrapText="1"/>
    </xf>
    <xf numFmtId="169" fontId="2" fillId="19" borderId="25" xfId="37" applyNumberFormat="1" applyFont="1" applyFill="1" applyBorder="1" applyAlignment="1" applyProtection="1">
      <alignment horizontal="center" vertical="center" wrapText="1"/>
    </xf>
    <xf numFmtId="0" fontId="5" fillId="18" borderId="27" xfId="0" applyFont="1" applyFill="1" applyBorder="1" applyAlignment="1" applyProtection="1">
      <alignment horizontal="center" vertical="center" wrapText="1"/>
      <protection locked="0"/>
    </xf>
    <xf numFmtId="0" fontId="1" fillId="18" borderId="36" xfId="0" applyFont="1" applyFill="1" applyBorder="1" applyAlignment="1" applyProtection="1">
      <alignment horizontal="center" vertical="center" wrapText="1"/>
      <protection locked="0"/>
    </xf>
    <xf numFmtId="49" fontId="1" fillId="18" borderId="37" xfId="0" applyNumberFormat="1" applyFont="1" applyFill="1" applyBorder="1" applyAlignment="1" applyProtection="1">
      <alignment horizontal="center" vertical="center" wrapText="1"/>
      <protection locked="0"/>
    </xf>
    <xf numFmtId="171" fontId="8" fillId="21" borderId="24" xfId="37" applyNumberFormat="1" applyFont="1" applyFill="1" applyBorder="1" applyAlignment="1" applyProtection="1">
      <alignment horizontal="center" vertical="center" shrinkToFit="1"/>
    </xf>
    <xf numFmtId="171" fontId="8" fillId="21" borderId="38" xfId="37" applyNumberFormat="1" applyFont="1" applyFill="1" applyBorder="1" applyAlignment="1" applyProtection="1">
      <alignment horizontal="center" vertical="center" shrinkToFit="1"/>
    </xf>
    <xf numFmtId="171" fontId="8" fillId="21" borderId="23" xfId="37" applyNumberFormat="1" applyFont="1" applyFill="1" applyBorder="1" applyAlignment="1" applyProtection="1">
      <alignment horizontal="center" vertical="center" shrinkToFit="1"/>
    </xf>
    <xf numFmtId="172" fontId="3" fillId="18" borderId="27" xfId="37" applyNumberFormat="1" applyFont="1" applyFill="1" applyBorder="1" applyAlignment="1" applyProtection="1">
      <alignment horizontal="center" vertical="center" shrinkToFit="1"/>
      <protection locked="0"/>
    </xf>
    <xf numFmtId="173" fontId="1" fillId="0" borderId="27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wrapText="1"/>
    </xf>
    <xf numFmtId="0" fontId="0" fillId="0" borderId="0" xfId="0" applyFill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indent="2"/>
    </xf>
    <xf numFmtId="0" fontId="0" fillId="0" borderId="0" xfId="0" applyAlignment="1">
      <alignment horizontal="left" indent="2"/>
    </xf>
    <xf numFmtId="0" fontId="3" fillId="0" borderId="0" xfId="0" applyFont="1" applyFill="1" applyBorder="1" applyAlignment="1" applyProtection="1">
      <alignment horizontal="left" indent="4"/>
    </xf>
    <xf numFmtId="0" fontId="5" fillId="19" borderId="21" xfId="0" applyFont="1" applyFill="1" applyBorder="1" applyProtection="1"/>
    <xf numFmtId="0" fontId="5" fillId="0" borderId="11" xfId="41" applyFont="1" applyBorder="1" applyAlignment="1" applyProtection="1">
      <alignment vertical="top" shrinkToFit="1"/>
    </xf>
    <xf numFmtId="0" fontId="5" fillId="0" borderId="0" xfId="0" applyFont="1" applyAlignment="1" applyProtection="1">
      <alignment horizontal="center" wrapText="1"/>
    </xf>
    <xf numFmtId="4" fontId="5" fillId="18" borderId="1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Fill="1" applyAlignment="1" applyProtection="1">
      <alignment wrapText="1"/>
    </xf>
    <xf numFmtId="0" fontId="1" fillId="0" borderId="18" xfId="0" applyFont="1" applyFill="1" applyBorder="1" applyAlignment="1" applyProtection="1">
      <alignment horizontal="center" wrapText="1"/>
    </xf>
    <xf numFmtId="0" fontId="1" fillId="0" borderId="12" xfId="0" applyFont="1" applyFill="1" applyBorder="1" applyAlignment="1" applyProtection="1">
      <alignment horizontal="center" wrapText="1"/>
    </xf>
    <xf numFmtId="0" fontId="5" fillId="0" borderId="13" xfId="0" applyFont="1" applyFill="1" applyBorder="1" applyAlignment="1" applyProtection="1">
      <alignment horizontal="right" vertical="center" wrapText="1"/>
    </xf>
    <xf numFmtId="0" fontId="0" fillId="0" borderId="13" xfId="0" applyBorder="1" applyProtection="1"/>
    <xf numFmtId="165" fontId="3" fillId="18" borderId="39" xfId="37" applyNumberFormat="1" applyFont="1" applyFill="1" applyBorder="1" applyAlignment="1" applyProtection="1">
      <alignment horizontal="center" vertical="center" wrapText="1" shrinkToFit="1"/>
      <protection locked="0"/>
    </xf>
    <xf numFmtId="165" fontId="3" fillId="18" borderId="40" xfId="37" applyNumberFormat="1" applyFont="1" applyFill="1" applyBorder="1" applyAlignment="1" applyProtection="1">
      <alignment horizontal="center" vertical="center" wrapText="1" shrinkToFit="1"/>
      <protection locked="0"/>
    </xf>
    <xf numFmtId="165" fontId="5" fillId="22" borderId="41" xfId="37" applyNumberFormat="1" applyFont="1" applyFill="1" applyBorder="1" applyAlignment="1" applyProtection="1">
      <alignment horizontal="center" vertical="center" shrinkToFit="1"/>
    </xf>
    <xf numFmtId="165" fontId="5" fillId="22" borderId="42" xfId="37" applyNumberFormat="1" applyFont="1" applyFill="1" applyBorder="1" applyAlignment="1" applyProtection="1">
      <alignment horizontal="center" vertical="center" shrinkToFit="1"/>
    </xf>
    <xf numFmtId="165" fontId="5" fillId="22" borderId="43" xfId="37" applyNumberFormat="1" applyFont="1" applyFill="1" applyBorder="1" applyAlignment="1" applyProtection="1">
      <alignment horizontal="center" vertical="center" shrinkToFit="1"/>
    </xf>
    <xf numFmtId="165" fontId="5" fillId="18" borderId="24" xfId="37" applyNumberFormat="1" applyFont="1" applyFill="1" applyBorder="1" applyAlignment="1" applyProtection="1">
      <alignment horizontal="center" vertical="center" shrinkToFit="1"/>
      <protection locked="0"/>
    </xf>
    <xf numFmtId="165" fontId="5" fillId="18" borderId="37" xfId="37" applyNumberFormat="1" applyFont="1" applyFill="1" applyBorder="1" applyAlignment="1" applyProtection="1">
      <alignment horizontal="center" vertical="center" shrinkToFit="1"/>
      <protection locked="0"/>
    </xf>
    <xf numFmtId="165" fontId="5" fillId="18" borderId="44" xfId="37" applyNumberFormat="1" applyFont="1" applyFill="1" applyBorder="1" applyAlignment="1" applyProtection="1">
      <alignment horizontal="center" vertical="center" shrinkToFit="1"/>
      <protection locked="0"/>
    </xf>
    <xf numFmtId="165" fontId="5" fillId="18" borderId="45" xfId="37" applyNumberFormat="1" applyFont="1" applyFill="1" applyBorder="1" applyAlignment="1" applyProtection="1">
      <alignment horizontal="center" vertical="center" shrinkToFit="1"/>
      <protection locked="0"/>
    </xf>
    <xf numFmtId="165" fontId="5" fillId="18" borderId="35" xfId="37" applyNumberFormat="1" applyFont="1" applyFill="1" applyBorder="1" applyAlignment="1" applyProtection="1">
      <alignment horizontal="center" vertical="center" shrinkToFit="1"/>
      <protection locked="0"/>
    </xf>
    <xf numFmtId="165" fontId="5" fillId="18" borderId="14" xfId="37" applyNumberFormat="1" applyFont="1" applyFill="1" applyBorder="1" applyAlignment="1" applyProtection="1">
      <alignment horizontal="center" vertical="center" shrinkToFit="1"/>
      <protection locked="0"/>
    </xf>
    <xf numFmtId="165" fontId="5" fillId="18" borderId="46" xfId="37" applyNumberFormat="1" applyFont="1" applyFill="1" applyBorder="1" applyAlignment="1" applyProtection="1">
      <alignment horizontal="center" vertical="center" shrinkToFit="1"/>
      <protection locked="0"/>
    </xf>
    <xf numFmtId="165" fontId="5" fillId="18" borderId="47" xfId="37" applyNumberFormat="1" applyFont="1" applyFill="1" applyBorder="1" applyAlignment="1" applyProtection="1">
      <alignment horizontal="center" vertical="center" shrinkToFit="1"/>
      <protection locked="0"/>
    </xf>
    <xf numFmtId="0" fontId="40" fillId="0" borderId="0" xfId="0" applyFont="1" applyFill="1" applyAlignment="1" applyProtection="1">
      <alignment horizontal="center"/>
    </xf>
    <xf numFmtId="0" fontId="40" fillId="0" borderId="0" xfId="0" applyFont="1"/>
    <xf numFmtId="165" fontId="40" fillId="0" borderId="0" xfId="0" applyNumberFormat="1" applyFont="1" applyFill="1" applyAlignment="1" applyProtection="1">
      <alignment horizontal="center"/>
    </xf>
    <xf numFmtId="165" fontId="5" fillId="0" borderId="35" xfId="37" applyNumberFormat="1" applyFont="1" applyFill="1" applyBorder="1" applyAlignment="1" applyProtection="1">
      <alignment horizontal="center" vertical="center" shrinkToFit="1"/>
    </xf>
    <xf numFmtId="165" fontId="5" fillId="0" borderId="37" xfId="37" applyNumberFormat="1" applyFont="1" applyFill="1" applyBorder="1" applyAlignment="1" applyProtection="1">
      <alignment horizontal="center" vertical="center" shrinkToFit="1"/>
    </xf>
    <xf numFmtId="165" fontId="5" fillId="0" borderId="14" xfId="37" applyNumberFormat="1" applyFont="1" applyFill="1" applyBorder="1" applyAlignment="1" applyProtection="1">
      <alignment horizontal="center" vertical="center" shrinkToFit="1"/>
    </xf>
    <xf numFmtId="165" fontId="28" fillId="19" borderId="29" xfId="37" applyNumberFormat="1" applyFont="1" applyFill="1" applyBorder="1" applyAlignment="1" applyProtection="1">
      <alignment horizontal="center" vertical="center" shrinkToFit="1"/>
    </xf>
    <xf numFmtId="165" fontId="28" fillId="19" borderId="28" xfId="37" applyNumberFormat="1" applyFont="1" applyFill="1" applyBorder="1" applyAlignment="1" applyProtection="1">
      <alignment horizontal="center" vertical="center" shrinkToFit="1"/>
    </xf>
    <xf numFmtId="165" fontId="28" fillId="19" borderId="10" xfId="37" applyNumberFormat="1" applyFont="1" applyFill="1" applyBorder="1" applyAlignment="1" applyProtection="1">
      <alignment horizontal="center" vertical="center" shrinkToFit="1"/>
    </xf>
    <xf numFmtId="167" fontId="26" fillId="0" borderId="14" xfId="40" applyNumberFormat="1" applyFont="1" applyFill="1" applyBorder="1" applyAlignment="1" applyProtection="1">
      <alignment horizontal="center" vertical="top" shrinkToFit="1"/>
    </xf>
    <xf numFmtId="166" fontId="2" fillId="0" borderId="0" xfId="40" quotePrefix="1" applyNumberFormat="1" applyFont="1" applyFill="1" applyBorder="1" applyAlignment="1" applyProtection="1">
      <alignment horizontal="left"/>
    </xf>
    <xf numFmtId="0" fontId="29" fillId="0" borderId="0" xfId="0" applyFont="1" applyFill="1" applyAlignment="1" applyProtection="1">
      <alignment horizontal="center"/>
    </xf>
    <xf numFmtId="0" fontId="5" fillId="0" borderId="20" xfId="41" applyFont="1" applyBorder="1" applyAlignment="1" applyProtection="1">
      <alignment vertical="top" wrapText="1"/>
    </xf>
    <xf numFmtId="4" fontId="5" fillId="0" borderId="24" xfId="0" applyNumberFormat="1" applyFont="1" applyFill="1" applyBorder="1" applyAlignment="1" applyProtection="1">
      <alignment horizontal="center" vertical="center" shrinkToFit="1"/>
    </xf>
    <xf numFmtId="0" fontId="5" fillId="0" borderId="20" xfId="0" applyFont="1" applyBorder="1" applyAlignment="1" applyProtection="1">
      <alignment horizontal="right"/>
    </xf>
    <xf numFmtId="0" fontId="1" fillId="0" borderId="26" xfId="0" applyFont="1" applyBorder="1" applyProtection="1"/>
    <xf numFmtId="0" fontId="1" fillId="0" borderId="26" xfId="0" applyFont="1" applyFill="1" applyBorder="1" applyAlignment="1" applyProtection="1"/>
    <xf numFmtId="0" fontId="5" fillId="0" borderId="26" xfId="0" applyFont="1" applyBorder="1" applyProtection="1"/>
    <xf numFmtId="0" fontId="1" fillId="0" borderId="26" xfId="0" applyFont="1" applyBorder="1" applyAlignment="1" applyProtection="1">
      <alignment vertical="center" wrapText="1"/>
    </xf>
    <xf numFmtId="0" fontId="0" fillId="23" borderId="26" xfId="0" applyFill="1" applyBorder="1" applyAlignment="1" applyProtection="1">
      <alignment horizontal="center" vertical="center" wrapText="1"/>
    </xf>
    <xf numFmtId="10" fontId="26" fillId="0" borderId="47" xfId="40" applyNumberFormat="1" applyFont="1" applyFill="1" applyBorder="1" applyAlignment="1" applyProtection="1">
      <alignment horizontal="center" vertical="top" shrinkToFit="1"/>
    </xf>
    <xf numFmtId="10" fontId="5" fillId="0" borderId="29" xfId="0" applyNumberFormat="1" applyFont="1" applyBorder="1" applyAlignment="1" applyProtection="1">
      <alignment horizontal="center" shrinkToFit="1"/>
    </xf>
    <xf numFmtId="0" fontId="2" fillId="0" borderId="0" xfId="40" applyFont="1" applyProtection="1"/>
    <xf numFmtId="0" fontId="2" fillId="0" borderId="0" xfId="0" applyFont="1"/>
    <xf numFmtId="0" fontId="2" fillId="0" borderId="0" xfId="40" applyFont="1" applyAlignment="1" applyProtection="1">
      <alignment wrapText="1"/>
    </xf>
    <xf numFmtId="0" fontId="2" fillId="0" borderId="0" xfId="0" applyFont="1" applyAlignment="1" applyProtection="1"/>
    <xf numFmtId="0" fontId="26" fillId="0" borderId="0" xfId="40" applyFont="1" applyBorder="1" applyAlignment="1" applyProtection="1">
      <alignment wrapText="1"/>
    </xf>
    <xf numFmtId="0" fontId="26" fillId="0" borderId="10" xfId="40" applyFont="1" applyBorder="1" applyAlignment="1" applyProtection="1">
      <alignment wrapText="1"/>
    </xf>
    <xf numFmtId="0" fontId="26" fillId="0" borderId="0" xfId="40" applyFont="1" applyAlignment="1" applyProtection="1">
      <alignment wrapText="1"/>
    </xf>
    <xf numFmtId="4" fontId="2" fillId="0" borderId="48" xfId="40" applyNumberFormat="1" applyFont="1" applyFill="1" applyBorder="1" applyAlignment="1" applyProtection="1">
      <alignment horizontal="right" wrapText="1"/>
    </xf>
    <xf numFmtId="0" fontId="2" fillId="0" borderId="0" xfId="40" applyFont="1" applyAlignment="1" applyProtection="1">
      <alignment horizontal="center"/>
    </xf>
    <xf numFmtId="4" fontId="2" fillId="0" borderId="37" xfId="40" applyNumberFormat="1" applyFont="1" applyFill="1" applyBorder="1" applyAlignment="1" applyProtection="1">
      <alignment horizontal="right" wrapText="1"/>
    </xf>
    <xf numFmtId="0" fontId="2" fillId="0" borderId="0" xfId="40" applyFont="1" applyBorder="1" applyAlignment="1" applyProtection="1">
      <alignment vertical="center"/>
    </xf>
    <xf numFmtId="0" fontId="2" fillId="0" borderId="0" xfId="0" applyFont="1" applyProtection="1"/>
    <xf numFmtId="0" fontId="2" fillId="0" borderId="0" xfId="40" applyFont="1" applyFill="1" applyBorder="1" applyAlignment="1" applyProtection="1">
      <alignment vertical="top" wrapText="1"/>
    </xf>
    <xf numFmtId="0" fontId="2" fillId="0" borderId="0" xfId="40" applyFont="1"/>
    <xf numFmtId="0" fontId="2" fillId="0" borderId="10" xfId="40" applyFont="1" applyBorder="1" applyAlignment="1" applyProtection="1"/>
    <xf numFmtId="0" fontId="2" fillId="0" borderId="0" xfId="40" applyFont="1" applyBorder="1" applyAlignment="1" applyProtection="1"/>
    <xf numFmtId="0" fontId="2" fillId="0" borderId="10" xfId="40" applyFont="1" applyBorder="1" applyProtection="1"/>
    <xf numFmtId="0" fontId="2" fillId="0" borderId="0" xfId="40" applyFont="1" applyFill="1" applyBorder="1" applyAlignment="1" applyProtection="1">
      <alignment horizontal="left" vertical="top"/>
    </xf>
    <xf numFmtId="0" fontId="5" fillId="18" borderId="49" xfId="0" applyFont="1" applyFill="1" applyBorder="1" applyAlignment="1" applyProtection="1">
      <alignment horizontal="center" vertical="center" wrapText="1"/>
      <protection locked="0"/>
    </xf>
    <xf numFmtId="171" fontId="28" fillId="19" borderId="50" xfId="37" applyNumberFormat="1" applyFont="1" applyFill="1" applyBorder="1" applyAlignment="1" applyProtection="1">
      <alignment horizontal="center" vertical="center" shrinkToFit="1"/>
    </xf>
    <xf numFmtId="172" fontId="28" fillId="19" borderId="48" xfId="37" applyNumberFormat="1" applyFont="1" applyFill="1" applyBorder="1" applyAlignment="1" applyProtection="1">
      <alignment horizontal="center" vertical="center" shrinkToFit="1"/>
    </xf>
    <xf numFmtId="0" fontId="5" fillId="18" borderId="35" xfId="0" applyFont="1" applyFill="1" applyBorder="1" applyAlignment="1" applyProtection="1">
      <alignment horizontal="center" vertical="center" wrapText="1"/>
      <protection locked="0"/>
    </xf>
    <xf numFmtId="171" fontId="28" fillId="19" borderId="14" xfId="37" applyNumberFormat="1" applyFont="1" applyFill="1" applyBorder="1" applyAlignment="1" applyProtection="1">
      <alignment horizontal="center" vertical="center" shrinkToFit="1"/>
    </xf>
    <xf numFmtId="172" fontId="28" fillId="19" borderId="37" xfId="37" applyNumberFormat="1" applyFont="1" applyFill="1" applyBorder="1" applyAlignment="1" applyProtection="1">
      <alignment horizontal="center" vertical="center" shrinkToFit="1"/>
    </xf>
    <xf numFmtId="0" fontId="5" fillId="18" borderId="46" xfId="0" applyFont="1" applyFill="1" applyBorder="1" applyAlignment="1" applyProtection="1">
      <alignment horizontal="center" vertical="center" wrapText="1"/>
      <protection locked="0"/>
    </xf>
    <xf numFmtId="171" fontId="28" fillId="19" borderId="47" xfId="37" applyNumberFormat="1" applyFont="1" applyFill="1" applyBorder="1" applyAlignment="1" applyProtection="1">
      <alignment horizontal="center" vertical="center" shrinkToFit="1"/>
    </xf>
    <xf numFmtId="172" fontId="28" fillId="19" borderId="45" xfId="37" applyNumberFormat="1" applyFont="1" applyFill="1" applyBorder="1" applyAlignment="1" applyProtection="1">
      <alignment horizontal="center" vertical="center" shrinkToFit="1"/>
    </xf>
    <xf numFmtId="0" fontId="5" fillId="0" borderId="20" xfId="0" applyFont="1" applyBorder="1" applyProtection="1"/>
    <xf numFmtId="0" fontId="8" fillId="0" borderId="0" xfId="0" applyFont="1" applyBorder="1" applyProtection="1"/>
    <xf numFmtId="0" fontId="1" fillId="19" borderId="28" xfId="0" applyFont="1" applyFill="1" applyBorder="1" applyAlignment="1" applyProtection="1">
      <alignment vertical="center" wrapText="1"/>
    </xf>
    <xf numFmtId="0" fontId="5" fillId="19" borderId="33" xfId="0" applyFont="1" applyFill="1" applyBorder="1" applyProtection="1"/>
    <xf numFmtId="0" fontId="5" fillId="19" borderId="30" xfId="0" applyFont="1" applyFill="1" applyBorder="1" applyProtection="1"/>
    <xf numFmtId="0" fontId="5" fillId="19" borderId="34" xfId="0" applyFont="1" applyFill="1" applyBorder="1" applyProtection="1"/>
    <xf numFmtId="0" fontId="5" fillId="19" borderId="31" xfId="0" applyFont="1" applyFill="1" applyBorder="1" applyProtection="1"/>
    <xf numFmtId="0" fontId="2" fillId="0" borderId="0" xfId="40" applyFont="1" applyFill="1" applyBorder="1" applyAlignment="1" applyProtection="1"/>
    <xf numFmtId="0" fontId="1" fillId="18" borderId="9" xfId="0" applyFont="1" applyFill="1" applyBorder="1" applyAlignment="1" applyProtection="1">
      <alignment horizontal="left" vertical="top" wrapText="1"/>
      <protection locked="0"/>
    </xf>
    <xf numFmtId="171" fontId="3" fillId="0" borderId="38" xfId="37" applyNumberFormat="1" applyFont="1" applyFill="1" applyBorder="1" applyAlignment="1" applyProtection="1">
      <alignment horizontal="center" vertical="center" shrinkToFit="1"/>
    </xf>
    <xf numFmtId="171" fontId="8" fillId="0" borderId="0" xfId="0" applyNumberFormat="1" applyFont="1" applyFill="1" applyBorder="1" applyAlignment="1" applyProtection="1">
      <alignment horizontal="center" vertical="center" shrinkToFit="1"/>
    </xf>
    <xf numFmtId="171" fontId="3" fillId="0" borderId="51" xfId="37" applyNumberFormat="1" applyFont="1" applyFill="1" applyBorder="1" applyAlignment="1" applyProtection="1">
      <alignment horizontal="center" vertical="center" shrinkToFit="1"/>
    </xf>
    <xf numFmtId="0" fontId="1" fillId="0" borderId="36" xfId="0" applyFont="1" applyFill="1" applyBorder="1" applyAlignment="1" applyProtection="1">
      <alignment horizontal="center" vertical="center" wrapText="1"/>
    </xf>
    <xf numFmtId="172" fontId="0" fillId="0" borderId="0" xfId="0" applyNumberFormat="1" applyProtection="1"/>
    <xf numFmtId="0" fontId="2" fillId="0" borderId="20" xfId="0" applyFont="1" applyBorder="1" applyAlignment="1" applyProtection="1">
      <alignment horizontal="right"/>
    </xf>
    <xf numFmtId="0" fontId="2" fillId="0" borderId="11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165" fontId="5" fillId="0" borderId="25" xfId="37" applyNumberFormat="1" applyFont="1" applyFill="1" applyBorder="1" applyAlignment="1" applyProtection="1">
      <alignment horizontal="center" vertical="center" shrinkToFit="1"/>
    </xf>
    <xf numFmtId="165" fontId="5" fillId="0" borderId="16" xfId="37" applyNumberFormat="1" applyFont="1" applyFill="1" applyBorder="1" applyAlignment="1" applyProtection="1">
      <alignment horizontal="center" vertical="center" shrinkToFit="1"/>
    </xf>
    <xf numFmtId="165" fontId="5" fillId="0" borderId="15" xfId="37" applyNumberFormat="1" applyFont="1" applyFill="1" applyBorder="1" applyAlignment="1" applyProtection="1">
      <alignment horizontal="center" vertical="center" shrinkToFit="1"/>
    </xf>
    <xf numFmtId="165" fontId="5" fillId="0" borderId="20" xfId="37" applyNumberFormat="1" applyFont="1" applyFill="1" applyBorder="1" applyAlignment="1" applyProtection="1">
      <alignment horizontal="center" vertical="center" shrinkToFit="1"/>
    </xf>
    <xf numFmtId="165" fontId="5" fillId="0" borderId="26" xfId="37" applyNumberFormat="1" applyFont="1" applyFill="1" applyBorder="1" applyAlignment="1" applyProtection="1">
      <alignment horizontal="center" vertical="center" shrinkToFit="1"/>
    </xf>
    <xf numFmtId="165" fontId="5" fillId="0" borderId="0" xfId="37" applyNumberFormat="1" applyFont="1" applyFill="1" applyBorder="1" applyAlignment="1" applyProtection="1">
      <alignment horizontal="center" vertical="center" shrinkToFit="1"/>
    </xf>
    <xf numFmtId="4" fontId="1" fillId="0" borderId="0" xfId="0" applyNumberFormat="1" applyFont="1" applyAlignment="1" applyProtection="1">
      <alignment horizontal="center" vertical="center" wrapText="1"/>
    </xf>
    <xf numFmtId="10" fontId="26" fillId="19" borderId="20" xfId="0" applyNumberFormat="1" applyFont="1" applyFill="1" applyBorder="1" applyAlignment="1" applyProtection="1">
      <alignment horizontal="center" vertical="center" wrapText="1"/>
    </xf>
    <xf numFmtId="4" fontId="5" fillId="0" borderId="0" xfId="0" applyNumberFormat="1" applyFont="1" applyFill="1" applyBorder="1" applyAlignment="1" applyProtection="1">
      <alignment horizontal="center" vertical="center" shrinkToFit="1"/>
    </xf>
    <xf numFmtId="4" fontId="28" fillId="19" borderId="10" xfId="0" applyNumberFormat="1" applyFont="1" applyFill="1" applyBorder="1" applyAlignment="1" applyProtection="1">
      <alignment horizontal="center" vertical="center" shrinkToFit="1"/>
    </xf>
    <xf numFmtId="10" fontId="1" fillId="0" borderId="0" xfId="0" applyNumberFormat="1" applyFont="1" applyFill="1" applyBorder="1" applyAlignment="1" applyProtection="1">
      <alignment horizontal="center" vertical="center" wrapText="1"/>
    </xf>
    <xf numFmtId="4" fontId="1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 wrapText="1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horizontal="center"/>
      <protection locked="0"/>
    </xf>
    <xf numFmtId="4" fontId="1" fillId="18" borderId="52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Fill="1" applyAlignment="1" applyProtection="1">
      <alignment horizontal="center"/>
    </xf>
    <xf numFmtId="4" fontId="8" fillId="0" borderId="53" xfId="0" applyNumberFormat="1" applyFont="1" applyFill="1" applyBorder="1" applyAlignment="1" applyProtection="1">
      <alignment horizontal="center" vertical="center" wrapText="1"/>
    </xf>
    <xf numFmtId="0" fontId="32" fillId="24" borderId="24" xfId="0" applyNumberFormat="1" applyFont="1" applyFill="1" applyBorder="1" applyAlignment="1" applyProtection="1">
      <alignment horizontal="center" vertical="center" wrapText="1"/>
    </xf>
    <xf numFmtId="0" fontId="8" fillId="0" borderId="26" xfId="0" applyNumberFormat="1" applyFont="1" applyFill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</xf>
    <xf numFmtId="0" fontId="36" fillId="0" borderId="26" xfId="0" applyFont="1" applyBorder="1" applyAlignment="1" applyProtection="1">
      <alignment horizontal="center" vertical="center" wrapText="1"/>
    </xf>
    <xf numFmtId="0" fontId="34" fillId="0" borderId="26" xfId="0" applyFont="1" applyFill="1" applyBorder="1" applyAlignment="1" applyProtection="1">
      <alignment horizontal="center" vertical="center" wrapText="1"/>
    </xf>
    <xf numFmtId="4" fontId="5" fillId="19" borderId="15" xfId="0" applyNumberFormat="1" applyFont="1" applyFill="1" applyBorder="1" applyAlignment="1" applyProtection="1">
      <alignment horizontal="center" vertical="center" wrapText="1"/>
    </xf>
    <xf numFmtId="4" fontId="5" fillId="0" borderId="26" xfId="0" applyNumberFormat="1" applyFont="1" applyFill="1" applyBorder="1" applyAlignment="1" applyProtection="1">
      <alignment horizontal="center" vertical="center" wrapText="1"/>
    </xf>
    <xf numFmtId="4" fontId="5" fillId="19" borderId="28" xfId="0" applyNumberFormat="1" applyFont="1" applyFill="1" applyBorder="1" applyAlignment="1" applyProtection="1">
      <alignment horizontal="center" vertical="center" wrapText="1"/>
    </xf>
    <xf numFmtId="168" fontId="7" fillId="0" borderId="28" xfId="0" applyNumberFormat="1" applyFont="1" applyBorder="1" applyAlignment="1" applyProtection="1">
      <alignment horizontal="center" vertical="center" wrapText="1"/>
    </xf>
    <xf numFmtId="10" fontId="26" fillId="19" borderId="15" xfId="0" applyNumberFormat="1" applyFont="1" applyFill="1" applyBorder="1" applyAlignment="1" applyProtection="1">
      <alignment horizontal="center" vertical="center" wrapText="1"/>
    </xf>
    <xf numFmtId="4" fontId="5" fillId="0" borderId="26" xfId="0" applyNumberFormat="1" applyFont="1" applyFill="1" applyBorder="1" applyAlignment="1" applyProtection="1">
      <alignment horizontal="center" vertical="center" shrinkToFit="1"/>
    </xf>
    <xf numFmtId="4" fontId="28" fillId="19" borderId="28" xfId="0" applyNumberFormat="1" applyFont="1" applyFill="1" applyBorder="1" applyAlignment="1" applyProtection="1">
      <alignment horizontal="center" vertical="center" shrinkToFit="1"/>
    </xf>
    <xf numFmtId="10" fontId="1" fillId="0" borderId="26" xfId="0" applyNumberFormat="1" applyFont="1" applyFill="1" applyBorder="1" applyAlignment="1" applyProtection="1">
      <alignment horizontal="center" vertical="center" wrapText="1"/>
    </xf>
    <xf numFmtId="4" fontId="1" fillId="18" borderId="53" xfId="0" applyNumberFormat="1" applyFont="1" applyFill="1" applyBorder="1" applyAlignment="1" applyProtection="1">
      <alignment horizontal="center" vertical="center" wrapText="1"/>
      <protection locked="0" hidden="1"/>
    </xf>
    <xf numFmtId="4" fontId="1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29" fillId="19" borderId="28" xfId="0" applyFont="1" applyFill="1" applyBorder="1" applyAlignment="1" applyProtection="1">
      <alignment vertical="center" wrapText="1"/>
    </xf>
    <xf numFmtId="0" fontId="0" fillId="19" borderId="29" xfId="0" applyFill="1" applyBorder="1" applyAlignment="1" applyProtection="1">
      <alignment vertical="center" wrapText="1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168" fontId="1" fillId="18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quotePrefix="1" applyFont="1" applyAlignment="1" applyProtection="1">
      <alignment vertical="center" wrapText="1"/>
    </xf>
    <xf numFmtId="4" fontId="32" fillId="24" borderId="24" xfId="0" applyNumberFormat="1" applyFont="1" applyFill="1" applyBorder="1" applyAlignment="1" applyProtection="1">
      <alignment horizontal="center" vertical="center" wrapText="1"/>
    </xf>
    <xf numFmtId="4" fontId="5" fillId="18" borderId="26" xfId="0" applyNumberFormat="1" applyFont="1" applyFill="1" applyBorder="1" applyAlignment="1" applyProtection="1">
      <alignment horizontal="center" vertical="center" shrinkToFit="1"/>
      <protection locked="0"/>
    </xf>
    <xf numFmtId="4" fontId="5" fillId="18" borderId="0" xfId="0" applyNumberFormat="1" applyFont="1" applyFill="1" applyBorder="1" applyAlignment="1" applyProtection="1">
      <alignment horizontal="center" vertical="center" shrinkToFit="1"/>
      <protection locked="0"/>
    </xf>
    <xf numFmtId="4" fontId="5" fillId="18" borderId="16" xfId="0" applyNumberFormat="1" applyFont="1" applyFill="1" applyBorder="1" applyAlignment="1" applyProtection="1">
      <alignment horizontal="center" vertical="center" shrinkToFit="1"/>
      <protection locked="0"/>
    </xf>
    <xf numFmtId="49" fontId="1" fillId="18" borderId="9" xfId="0" applyNumberFormat="1" applyFont="1" applyFill="1" applyBorder="1" applyAlignment="1" applyProtection="1">
      <alignment horizontal="left" vertical="top" wrapText="1"/>
      <protection locked="0"/>
    </xf>
    <xf numFmtId="168" fontId="7" fillId="0" borderId="29" xfId="0" applyNumberFormat="1" applyFont="1" applyBorder="1" applyAlignment="1" applyProtection="1">
      <alignment horizontal="center" vertical="center" wrapText="1"/>
    </xf>
    <xf numFmtId="10" fontId="26" fillId="19" borderId="25" xfId="0" applyNumberFormat="1" applyFont="1" applyFill="1" applyBorder="1" applyAlignment="1" applyProtection="1">
      <alignment horizontal="center" vertical="center" wrapText="1"/>
    </xf>
    <xf numFmtId="4" fontId="5" fillId="0" borderId="16" xfId="0" applyNumberFormat="1" applyFont="1" applyFill="1" applyBorder="1" applyAlignment="1" applyProtection="1">
      <alignment horizontal="center" vertical="center" shrinkToFit="1"/>
    </xf>
    <xf numFmtId="4" fontId="28" fillId="19" borderId="29" xfId="0" applyNumberFormat="1" applyFont="1" applyFill="1" applyBorder="1" applyAlignment="1" applyProtection="1">
      <alignment horizontal="center" vertical="center" shrinkToFit="1"/>
    </xf>
    <xf numFmtId="10" fontId="1" fillId="0" borderId="16" xfId="0" applyNumberFormat="1" applyFont="1" applyFill="1" applyBorder="1" applyAlignment="1" applyProtection="1">
      <alignment horizontal="center" vertical="center" wrapText="1"/>
    </xf>
    <xf numFmtId="4" fontId="1" fillId="18" borderId="54" xfId="0" applyNumberFormat="1" applyFont="1" applyFill="1" applyBorder="1" applyAlignment="1" applyProtection="1">
      <alignment horizontal="center" vertical="center" wrapText="1"/>
      <protection locked="0" hidden="1"/>
    </xf>
    <xf numFmtId="4" fontId="1" fillId="0" borderId="23" xfId="0" applyNumberFormat="1" applyFont="1" applyFill="1" applyBorder="1" applyAlignment="1" applyProtection="1">
      <alignment horizontal="center" vertical="center" wrapText="1"/>
      <protection locked="0"/>
    </xf>
    <xf numFmtId="172" fontId="5" fillId="19" borderId="21" xfId="0" applyNumberFormat="1" applyFont="1" applyFill="1" applyBorder="1" applyAlignment="1" applyProtection="1">
      <alignment horizontal="center" vertical="center" wrapText="1"/>
    </xf>
    <xf numFmtId="171" fontId="5" fillId="0" borderId="11" xfId="0" applyNumberFormat="1" applyFont="1" applyFill="1" applyBorder="1" applyAlignment="1" applyProtection="1">
      <alignment horizontal="center" vertical="center" wrapText="1"/>
    </xf>
    <xf numFmtId="171" fontId="28" fillId="19" borderId="9" xfId="0" applyNumberFormat="1" applyFont="1" applyFill="1" applyBorder="1" applyAlignment="1" applyProtection="1">
      <alignment horizontal="center" vertical="center" wrapText="1"/>
    </xf>
    <xf numFmtId="171" fontId="5" fillId="19" borderId="21" xfId="37" quotePrefix="1" applyNumberFormat="1" applyFont="1" applyFill="1" applyBorder="1" applyAlignment="1" applyProtection="1">
      <alignment horizontal="center" vertical="center" wrapText="1"/>
    </xf>
    <xf numFmtId="4" fontId="5" fillId="0" borderId="11" xfId="0" applyNumberFormat="1" applyFont="1" applyFill="1" applyBorder="1" applyAlignment="1" applyProtection="1">
      <alignment horizontal="center" vertical="center" wrapText="1"/>
    </xf>
    <xf numFmtId="4" fontId="28" fillId="19" borderId="11" xfId="0" applyNumberFormat="1" applyFont="1" applyFill="1" applyBorder="1" applyAlignment="1" applyProtection="1">
      <alignment horizontal="center" vertical="center" wrapText="1"/>
    </xf>
    <xf numFmtId="0" fontId="0" fillId="20" borderId="55" xfId="0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wrapText="1" indent="2"/>
    </xf>
    <xf numFmtId="0" fontId="26" fillId="0" borderId="0" xfId="41" applyFont="1" applyBorder="1" applyAlignment="1" applyProtection="1"/>
    <xf numFmtId="0" fontId="0" fillId="0" borderId="16" xfId="0" applyBorder="1"/>
    <xf numFmtId="4" fontId="0" fillId="18" borderId="9" xfId="0" applyNumberFormat="1" applyFill="1" applyBorder="1" applyAlignment="1" applyProtection="1">
      <alignment horizontal="left" vertical="top" shrinkToFit="1"/>
      <protection locked="0"/>
    </xf>
    <xf numFmtId="4" fontId="0" fillId="0" borderId="9" xfId="0" applyNumberFormat="1" applyFill="1" applyBorder="1" applyAlignment="1" applyProtection="1">
      <alignment horizontal="left" vertical="top" shrinkToFit="1"/>
    </xf>
    <xf numFmtId="175" fontId="8" fillId="0" borderId="23" xfId="0" applyNumberFormat="1" applyFont="1" applyFill="1" applyBorder="1" applyAlignment="1" applyProtection="1">
      <alignment horizontal="center" vertical="center" shrinkToFit="1"/>
    </xf>
    <xf numFmtId="171" fontId="8" fillId="0" borderId="38" xfId="0" applyNumberFormat="1" applyFont="1" applyFill="1" applyBorder="1" applyAlignment="1" applyProtection="1">
      <alignment horizontal="center" vertical="center" shrinkToFit="1"/>
    </xf>
    <xf numFmtId="171" fontId="8" fillId="0" borderId="23" xfId="0" applyNumberFormat="1" applyFont="1" applyFill="1" applyBorder="1" applyAlignment="1" applyProtection="1">
      <alignment horizontal="center" vertical="center" shrinkToFit="1"/>
    </xf>
    <xf numFmtId="0" fontId="3" fillId="18" borderId="27" xfId="0" applyNumberFormat="1" applyFont="1" applyFill="1" applyBorder="1" applyAlignment="1" applyProtection="1">
      <alignment horizontal="center" vertical="center" shrinkToFit="1"/>
      <protection locked="0"/>
    </xf>
    <xf numFmtId="172" fontId="1" fillId="18" borderId="35" xfId="0" applyNumberFormat="1" applyFont="1" applyFill="1" applyBorder="1" applyAlignment="1" applyProtection="1">
      <alignment horizontal="center" vertical="center" shrinkToFit="1"/>
      <protection locked="0"/>
    </xf>
    <xf numFmtId="172" fontId="1" fillId="18" borderId="37" xfId="0" applyNumberFormat="1" applyFont="1" applyFill="1" applyBorder="1" applyAlignment="1" applyProtection="1">
      <alignment horizontal="center" vertical="center" shrinkToFit="1"/>
      <protection locked="0"/>
    </xf>
    <xf numFmtId="165" fontId="3" fillId="18" borderId="39" xfId="37" applyNumberFormat="1" applyFont="1" applyFill="1" applyBorder="1" applyAlignment="1" applyProtection="1">
      <alignment horizontal="center" vertical="center" shrinkToFit="1"/>
      <protection locked="0"/>
    </xf>
    <xf numFmtId="165" fontId="3" fillId="18" borderId="56" xfId="37" applyNumberFormat="1" applyFont="1" applyFill="1" applyBorder="1" applyAlignment="1" applyProtection="1">
      <alignment horizontal="center" vertical="center" shrinkToFit="1"/>
      <protection locked="0"/>
    </xf>
    <xf numFmtId="165" fontId="3" fillId="18" borderId="40" xfId="37" applyNumberFormat="1" applyFont="1" applyFill="1" applyBorder="1" applyAlignment="1" applyProtection="1">
      <alignment horizontal="center" vertical="center" shrinkToFit="1"/>
      <protection locked="0"/>
    </xf>
    <xf numFmtId="0" fontId="0" fillId="0" borderId="26" xfId="0" applyBorder="1" applyProtection="1"/>
    <xf numFmtId="0" fontId="0" fillId="18" borderId="9" xfId="0" applyFill="1" applyBorder="1" applyAlignment="1" applyProtection="1">
      <alignment vertical="top" wrapText="1"/>
      <protection locked="0"/>
    </xf>
    <xf numFmtId="0" fontId="37" fillId="0" borderId="0" xfId="0" applyFont="1" applyBorder="1" applyAlignment="1" applyProtection="1">
      <alignment vertical="center" wrapText="1"/>
    </xf>
    <xf numFmtId="0" fontId="3" fillId="18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8" xfId="0" applyNumberFormat="1" applyFont="1" applyFill="1" applyBorder="1" applyAlignment="1" applyProtection="1">
      <alignment horizontal="center" vertical="center" wrapText="1"/>
    </xf>
    <xf numFmtId="173" fontId="3" fillId="0" borderId="57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Protection="1"/>
    <xf numFmtId="0" fontId="0" fillId="0" borderId="20" xfId="0" applyBorder="1" applyAlignment="1" applyProtection="1">
      <alignment vertical="center" wrapText="1"/>
    </xf>
    <xf numFmtId="0" fontId="6" fillId="0" borderId="20" xfId="0" applyFont="1" applyBorder="1" applyProtection="1"/>
    <xf numFmtId="0" fontId="0" fillId="0" borderId="20" xfId="0" applyBorder="1" applyAlignment="1" applyProtection="1">
      <alignment horizontal="left" vertical="center" wrapText="1"/>
    </xf>
    <xf numFmtId="0" fontId="0" fillId="0" borderId="20" xfId="0" applyBorder="1" applyProtection="1"/>
    <xf numFmtId="0" fontId="0" fillId="0" borderId="16" xfId="0" applyBorder="1" applyAlignment="1" applyProtection="1">
      <alignment horizontal="left" vertical="center" wrapText="1"/>
    </xf>
    <xf numFmtId="0" fontId="0" fillId="0" borderId="16" xfId="0" applyBorder="1" applyAlignment="1" applyProtection="1">
      <alignment vertical="center" wrapText="1"/>
    </xf>
    <xf numFmtId="0" fontId="2" fillId="25" borderId="0" xfId="40" applyFont="1" applyFill="1" applyBorder="1" applyAlignment="1" applyProtection="1">
      <alignment vertical="top" wrapText="1"/>
      <protection locked="0"/>
    </xf>
    <xf numFmtId="0" fontId="2" fillId="25" borderId="0" xfId="4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horizontal="left" indent="4"/>
    </xf>
    <xf numFmtId="0" fontId="1" fillId="18" borderId="40" xfId="0" applyNumberFormat="1" applyFont="1" applyFill="1" applyBorder="1" applyAlignment="1" applyProtection="1">
      <alignment wrapText="1"/>
      <protection locked="0"/>
    </xf>
    <xf numFmtId="0" fontId="1" fillId="18" borderId="37" xfId="0" applyNumberFormat="1" applyFont="1" applyFill="1" applyBorder="1" applyAlignment="1" applyProtection="1">
      <alignment wrapText="1"/>
      <protection locked="0"/>
    </xf>
    <xf numFmtId="0" fontId="1" fillId="18" borderId="45" xfId="0" applyNumberFormat="1" applyFont="1" applyFill="1" applyBorder="1" applyAlignment="1" applyProtection="1">
      <alignment wrapText="1"/>
      <protection locked="0"/>
    </xf>
    <xf numFmtId="0" fontId="5" fillId="0" borderId="16" xfId="41" applyFont="1" applyBorder="1" applyAlignment="1" applyProtection="1">
      <alignment vertical="top"/>
    </xf>
    <xf numFmtId="0" fontId="1" fillId="0" borderId="26" xfId="41" applyFont="1" applyBorder="1" applyAlignment="1" applyProtection="1">
      <alignment vertical="top"/>
    </xf>
    <xf numFmtId="49" fontId="1" fillId="18" borderId="39" xfId="0" applyNumberFormat="1" applyFont="1" applyFill="1" applyBorder="1" applyAlignment="1" applyProtection="1">
      <alignment horizontal="left" wrapText="1"/>
      <protection locked="0"/>
    </xf>
    <xf numFmtId="49" fontId="0" fillId="18" borderId="46" xfId="0" applyNumberFormat="1" applyFill="1" applyBorder="1" applyAlignment="1" applyProtection="1">
      <alignment horizontal="left" wrapText="1"/>
      <protection locked="0"/>
    </xf>
    <xf numFmtId="49" fontId="1" fillId="18" borderId="35" xfId="0" applyNumberFormat="1" applyFont="1" applyFill="1" applyBorder="1" applyAlignment="1" applyProtection="1">
      <alignment horizontal="left" wrapText="1"/>
      <protection locked="0"/>
    </xf>
    <xf numFmtId="0" fontId="47" fillId="0" borderId="50" xfId="40" applyNumberFormat="1" applyFont="1" applyFill="1" applyBorder="1" applyAlignment="1" applyProtection="1">
      <alignment horizontal="left" vertical="center" shrinkToFit="1"/>
    </xf>
    <xf numFmtId="0" fontId="47" fillId="0" borderId="50" xfId="40" applyNumberFormat="1" applyFont="1" applyFill="1" applyBorder="1" applyAlignment="1" applyProtection="1">
      <alignment horizontal="left" shrinkToFit="1"/>
    </xf>
    <xf numFmtId="49" fontId="2" fillId="0" borderId="49" xfId="40" applyNumberFormat="1" applyFont="1" applyFill="1" applyBorder="1" applyAlignment="1" applyProtection="1">
      <alignment wrapText="1"/>
    </xf>
    <xf numFmtId="49" fontId="2" fillId="0" borderId="35" xfId="40" applyNumberFormat="1" applyFont="1" applyFill="1" applyBorder="1" applyAlignment="1" applyProtection="1">
      <alignment wrapText="1"/>
    </xf>
    <xf numFmtId="0" fontId="47" fillId="0" borderId="14" xfId="40" applyNumberFormat="1" applyFont="1" applyFill="1" applyBorder="1" applyAlignment="1" applyProtection="1">
      <alignment horizontal="left" vertical="center" shrinkToFit="1"/>
    </xf>
    <xf numFmtId="0" fontId="47" fillId="0" borderId="14" xfId="40" applyNumberFormat="1" applyFont="1" applyFill="1" applyBorder="1" applyAlignment="1" applyProtection="1">
      <alignment horizontal="left" shrinkToFit="1"/>
    </xf>
    <xf numFmtId="0" fontId="5" fillId="0" borderId="58" xfId="41" applyFont="1" applyBorder="1" applyAlignment="1" applyProtection="1">
      <alignment vertical="top"/>
    </xf>
    <xf numFmtId="0" fontId="5" fillId="0" borderId="59" xfId="41" applyFont="1" applyBorder="1" applyAlignment="1" applyProtection="1">
      <alignment vertical="top"/>
    </xf>
    <xf numFmtId="0" fontId="27" fillId="19" borderId="20" xfId="0" applyFont="1" applyFill="1" applyBorder="1" applyAlignment="1" applyProtection="1">
      <alignment horizontal="center" vertical="center" wrapText="1"/>
    </xf>
    <xf numFmtId="0" fontId="27" fillId="19" borderId="25" xfId="0" applyFont="1" applyFill="1" applyBorder="1" applyAlignment="1" applyProtection="1">
      <alignment horizontal="center" vertical="center" wrapText="1"/>
    </xf>
    <xf numFmtId="0" fontId="27" fillId="19" borderId="10" xfId="0" applyFont="1" applyFill="1" applyBorder="1" applyAlignment="1" applyProtection="1">
      <alignment horizontal="center" vertical="center" wrapText="1"/>
    </xf>
    <xf numFmtId="0" fontId="27" fillId="19" borderId="29" xfId="0" applyFont="1" applyFill="1" applyBorder="1" applyAlignment="1" applyProtection="1">
      <alignment horizontal="center" vertical="center" wrapText="1"/>
    </xf>
    <xf numFmtId="0" fontId="3" fillId="0" borderId="60" xfId="0" applyFont="1" applyFill="1" applyBorder="1" applyAlignment="1" applyProtection="1">
      <alignment horizontal="left" wrapText="1"/>
    </xf>
    <xf numFmtId="0" fontId="3" fillId="0" borderId="0" xfId="0" applyFont="1" applyFill="1" applyBorder="1" applyAlignment="1" applyProtection="1">
      <alignment horizontal="left" wrapText="1"/>
    </xf>
    <xf numFmtId="0" fontId="28" fillId="0" borderId="61" xfId="0" applyFont="1" applyFill="1" applyBorder="1" applyAlignment="1" applyProtection="1">
      <alignment horizontal="center" vertical="center" wrapText="1"/>
    </xf>
    <xf numFmtId="0" fontId="28" fillId="0" borderId="2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wrapText="1" indent="2"/>
    </xf>
    <xf numFmtId="0" fontId="0" fillId="18" borderId="28" xfId="0" applyFill="1" applyBorder="1" applyAlignment="1" applyProtection="1">
      <alignment horizontal="left" vertical="top" wrapText="1"/>
      <protection locked="0"/>
    </xf>
    <xf numFmtId="0" fontId="0" fillId="18" borderId="29" xfId="0" applyFill="1" applyBorder="1" applyAlignment="1" applyProtection="1">
      <alignment horizontal="left" vertical="top" wrapText="1"/>
      <protection locked="0"/>
    </xf>
    <xf numFmtId="0" fontId="1" fillId="0" borderId="60" xfId="0" applyFont="1" applyFill="1" applyBorder="1" applyAlignment="1" applyProtection="1">
      <alignment horizontal="left" wrapText="1"/>
    </xf>
    <xf numFmtId="0" fontId="3" fillId="0" borderId="0" xfId="0" applyFont="1" applyFill="1" applyBorder="1" applyAlignment="1" applyProtection="1">
      <alignment horizontal="left"/>
    </xf>
    <xf numFmtId="0" fontId="1" fillId="18" borderId="28" xfId="0" applyFont="1" applyFill="1" applyBorder="1" applyAlignment="1" applyProtection="1">
      <alignment horizontal="left" vertical="top" wrapText="1"/>
      <protection locked="0"/>
    </xf>
    <xf numFmtId="0" fontId="1" fillId="18" borderId="29" xfId="0" applyFont="1" applyFill="1" applyBorder="1" applyAlignment="1" applyProtection="1">
      <alignment horizontal="left" vertical="top" wrapText="1"/>
      <protection locked="0"/>
    </xf>
    <xf numFmtId="0" fontId="5" fillId="0" borderId="26" xfId="41" applyFont="1" applyBorder="1" applyAlignment="1" applyProtection="1">
      <alignment horizontal="left" vertical="top"/>
    </xf>
    <xf numFmtId="0" fontId="5" fillId="0" borderId="16" xfId="41" applyFont="1" applyBorder="1" applyAlignment="1" applyProtection="1">
      <alignment horizontal="left" vertical="top"/>
    </xf>
    <xf numFmtId="0" fontId="5" fillId="0" borderId="0" xfId="41" applyFont="1" applyBorder="1" applyAlignment="1" applyProtection="1">
      <alignment horizontal="left" vertical="top"/>
    </xf>
    <xf numFmtId="0" fontId="0" fillId="18" borderId="10" xfId="0" applyFill="1" applyBorder="1" applyAlignment="1" applyProtection="1">
      <alignment horizontal="left" vertical="top" wrapText="1"/>
      <protection locked="0"/>
    </xf>
    <xf numFmtId="0" fontId="1" fillId="18" borderId="9" xfId="0" applyFont="1" applyFill="1" applyBorder="1" applyAlignment="1" applyProtection="1">
      <alignment horizontal="left" vertical="top" wrapText="1"/>
      <protection locked="0"/>
    </xf>
    <xf numFmtId="0" fontId="0" fillId="18" borderId="9" xfId="0" applyFill="1" applyBorder="1" applyAlignment="1" applyProtection="1">
      <alignment horizontal="left" vertical="top" wrapText="1"/>
      <protection locked="0"/>
    </xf>
    <xf numFmtId="0" fontId="5" fillId="0" borderId="11" xfId="41" applyFont="1" applyBorder="1" applyAlignment="1" applyProtection="1">
      <alignment horizontal="left" vertical="top"/>
    </xf>
    <xf numFmtId="49" fontId="1" fillId="18" borderId="9" xfId="0" applyNumberFormat="1" applyFont="1" applyFill="1" applyBorder="1" applyAlignment="1" applyProtection="1">
      <alignment horizontal="left" vertical="top" wrapText="1"/>
      <protection locked="0"/>
    </xf>
    <xf numFmtId="49" fontId="0" fillId="18" borderId="9" xfId="0" applyNumberFormat="1" applyFill="1" applyBorder="1" applyAlignment="1" applyProtection="1">
      <alignment horizontal="left" vertical="top" wrapText="1"/>
      <protection locked="0"/>
    </xf>
    <xf numFmtId="0" fontId="5" fillId="0" borderId="0" xfId="41" applyFont="1" applyBorder="1" applyAlignment="1" applyProtection="1">
      <alignment horizontal="center"/>
    </xf>
    <xf numFmtId="0" fontId="5" fillId="0" borderId="16" xfId="41" applyFont="1" applyBorder="1" applyAlignment="1" applyProtection="1">
      <alignment horizontal="center"/>
    </xf>
    <xf numFmtId="0" fontId="5" fillId="0" borderId="62" xfId="41" applyFont="1" applyBorder="1" applyAlignment="1" applyProtection="1">
      <alignment horizontal="left" vertical="top"/>
    </xf>
    <xf numFmtId="0" fontId="1" fillId="18" borderId="56" xfId="0" applyNumberFormat="1" applyFont="1" applyFill="1" applyBorder="1" applyAlignment="1" applyProtection="1">
      <alignment horizontal="left" wrapText="1"/>
      <protection locked="0"/>
    </xf>
    <xf numFmtId="0" fontId="0" fillId="18" borderId="56" xfId="0" applyNumberFormat="1" applyFill="1" applyBorder="1" applyAlignment="1" applyProtection="1">
      <alignment horizontal="left" wrapText="1"/>
      <protection locked="0"/>
    </xf>
    <xf numFmtId="0" fontId="0" fillId="18" borderId="14" xfId="0" applyNumberFormat="1" applyFill="1" applyBorder="1" applyAlignment="1" applyProtection="1">
      <alignment horizontal="left" wrapText="1"/>
      <protection locked="0"/>
    </xf>
    <xf numFmtId="0" fontId="1" fillId="18" borderId="14" xfId="0" applyNumberFormat="1" applyFont="1" applyFill="1" applyBorder="1" applyAlignment="1" applyProtection="1">
      <alignment horizontal="left" wrapText="1"/>
      <protection locked="0"/>
    </xf>
    <xf numFmtId="0" fontId="0" fillId="18" borderId="47" xfId="0" applyNumberFormat="1" applyFill="1" applyBorder="1" applyAlignment="1" applyProtection="1">
      <alignment horizontal="left" wrapText="1"/>
      <protection locked="0"/>
    </xf>
    <xf numFmtId="0" fontId="43" fillId="0" borderId="0" xfId="0" applyFont="1" applyAlignment="1" applyProtection="1">
      <alignment horizontal="center" wrapText="1"/>
    </xf>
    <xf numFmtId="0" fontId="43" fillId="0" borderId="16" xfId="0" applyFont="1" applyBorder="1" applyAlignment="1" applyProtection="1">
      <alignment horizontal="center" wrapText="1"/>
    </xf>
    <xf numFmtId="0" fontId="5" fillId="19" borderId="20" xfId="0" applyFont="1" applyFill="1" applyBorder="1" applyAlignment="1" applyProtection="1">
      <alignment horizontal="center" vertical="center" wrapText="1"/>
    </xf>
    <xf numFmtId="0" fontId="5" fillId="19" borderId="25" xfId="0" applyFont="1" applyFill="1" applyBorder="1" applyAlignment="1" applyProtection="1">
      <alignment horizontal="center" vertical="center" wrapText="1"/>
    </xf>
    <xf numFmtId="0" fontId="5" fillId="19" borderId="10" xfId="0" applyFont="1" applyFill="1" applyBorder="1" applyAlignment="1" applyProtection="1">
      <alignment horizontal="center" vertical="center" wrapText="1"/>
    </xf>
    <xf numFmtId="0" fontId="5" fillId="19" borderId="29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3" fillId="18" borderId="0" xfId="0" applyFont="1" applyFill="1" applyBorder="1" applyAlignment="1" applyProtection="1">
      <alignment horizontal="left"/>
      <protection locked="0"/>
    </xf>
    <xf numFmtId="176" fontId="3" fillId="18" borderId="0" xfId="0" applyNumberFormat="1" applyFont="1" applyFill="1" applyBorder="1" applyAlignment="1" applyProtection="1">
      <alignment horizontal="left"/>
      <protection locked="0"/>
    </xf>
    <xf numFmtId="0" fontId="1" fillId="18" borderId="0" xfId="0" applyFont="1" applyFill="1" applyBorder="1" applyAlignment="1" applyProtection="1">
      <alignment horizontal="left"/>
      <protection locked="0"/>
    </xf>
    <xf numFmtId="0" fontId="5" fillId="0" borderId="20" xfId="41" applyFont="1" applyBorder="1" applyAlignment="1" applyProtection="1">
      <alignment horizontal="left" vertical="top" wrapText="1"/>
    </xf>
    <xf numFmtId="0" fontId="7" fillId="0" borderId="58" xfId="0" applyFont="1" applyBorder="1" applyAlignment="1" applyProtection="1">
      <alignment horizontal="center" vertical="center" wrapText="1"/>
    </xf>
    <xf numFmtId="0" fontId="8" fillId="0" borderId="58" xfId="0" applyFont="1" applyBorder="1" applyAlignment="1" applyProtection="1">
      <alignment wrapText="1"/>
    </xf>
    <xf numFmtId="0" fontId="1" fillId="0" borderId="26" xfId="0" applyFont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 wrapText="1"/>
    </xf>
    <xf numFmtId="4" fontId="8" fillId="0" borderId="12" xfId="0" applyNumberFormat="1" applyFont="1" applyBorder="1" applyAlignment="1" applyProtection="1">
      <alignment horizontal="center" vertical="center" wrapText="1"/>
    </xf>
    <xf numFmtId="4" fontId="8" fillId="0" borderId="18" xfId="0" applyNumberFormat="1" applyFont="1" applyBorder="1" applyAlignment="1" applyProtection="1">
      <alignment horizontal="center" vertical="center" wrapText="1"/>
    </xf>
    <xf numFmtId="0" fontId="7" fillId="0" borderId="59" xfId="0" applyFont="1" applyBorder="1" applyAlignment="1" applyProtection="1">
      <alignment horizontal="center" vertical="center" wrapText="1"/>
    </xf>
    <xf numFmtId="0" fontId="7" fillId="0" borderId="59" xfId="0" applyFont="1" applyBorder="1" applyAlignment="1" applyProtection="1">
      <alignment wrapText="1"/>
    </xf>
    <xf numFmtId="0" fontId="7" fillId="0" borderId="11" xfId="0" applyFont="1" applyBorder="1" applyAlignment="1" applyProtection="1">
      <alignment horizontal="center" vertical="center" wrapText="1"/>
    </xf>
    <xf numFmtId="170" fontId="7" fillId="0" borderId="11" xfId="0" applyNumberFormat="1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0" fontId="8" fillId="0" borderId="18" xfId="0" applyFont="1" applyBorder="1" applyAlignment="1" applyProtection="1">
      <alignment horizontal="center"/>
    </xf>
    <xf numFmtId="170" fontId="5" fillId="0" borderId="59" xfId="0" applyNumberFormat="1" applyFont="1" applyBorder="1" applyAlignment="1" applyProtection="1">
      <alignment horizontal="center" vertical="center" wrapText="1"/>
    </xf>
    <xf numFmtId="0" fontId="7" fillId="0" borderId="40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170" fontId="5" fillId="0" borderId="0" xfId="0" applyNumberFormat="1" applyFont="1" applyBorder="1" applyAlignment="1" applyProtection="1">
      <alignment horizontal="center" vertical="center" wrapText="1"/>
    </xf>
    <xf numFmtId="170" fontId="7" fillId="0" borderId="0" xfId="0" applyNumberFormat="1" applyFont="1" applyBorder="1" applyAlignment="1" applyProtection="1">
      <alignment horizontal="center" vertical="center" wrapText="1"/>
    </xf>
    <xf numFmtId="0" fontId="37" fillId="0" borderId="13" xfId="0" applyFont="1" applyBorder="1" applyAlignment="1" applyProtection="1">
      <alignment horizontal="center" vertical="center" wrapText="1"/>
    </xf>
    <xf numFmtId="0" fontId="37" fillId="0" borderId="9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/>
    </xf>
    <xf numFmtId="0" fontId="7" fillId="0" borderId="62" xfId="0" applyFont="1" applyBorder="1" applyAlignment="1" applyProtection="1">
      <alignment horizontal="center" vertical="center"/>
    </xf>
    <xf numFmtId="0" fontId="5" fillId="0" borderId="62" xfId="0" applyFont="1" applyBorder="1" applyAlignment="1" applyProtection="1">
      <alignment horizontal="center" vertical="center"/>
    </xf>
    <xf numFmtId="0" fontId="7" fillId="0" borderId="62" xfId="0" applyFont="1" applyBorder="1" applyProtection="1"/>
    <xf numFmtId="0" fontId="7" fillId="0" borderId="63" xfId="0" applyFont="1" applyBorder="1" applyAlignment="1" applyProtection="1">
      <alignment horizontal="center" vertical="center" wrapText="1"/>
    </xf>
    <xf numFmtId="0" fontId="7" fillId="0" borderId="64" xfId="0" applyFont="1" applyBorder="1" applyAlignment="1" applyProtection="1">
      <alignment horizontal="center" vertical="center" wrapText="1"/>
    </xf>
    <xf numFmtId="0" fontId="1" fillId="18" borderId="26" xfId="0" applyFont="1" applyFill="1" applyBorder="1" applyAlignment="1" applyProtection="1">
      <alignment horizontal="left" vertical="top" wrapText="1"/>
      <protection locked="0"/>
    </xf>
    <xf numFmtId="0" fontId="1" fillId="18" borderId="0" xfId="0" applyFont="1" applyFill="1" applyBorder="1" applyAlignment="1" applyProtection="1">
      <alignment horizontal="left" vertical="top" wrapText="1"/>
      <protection locked="0"/>
    </xf>
    <xf numFmtId="0" fontId="1" fillId="18" borderId="16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/>
    </xf>
    <xf numFmtId="0" fontId="8" fillId="0" borderId="0" xfId="0" applyFont="1" applyBorder="1" applyAlignment="1" applyProtection="1">
      <alignment horizontal="center" wrapText="1"/>
    </xf>
    <xf numFmtId="170" fontId="7" fillId="0" borderId="58" xfId="0" applyNumberFormat="1" applyFont="1" applyBorder="1" applyAlignment="1" applyProtection="1">
      <alignment horizontal="center" vertical="center" wrapText="1"/>
    </xf>
    <xf numFmtId="170" fontId="7" fillId="0" borderId="39" xfId="0" applyNumberFormat="1" applyFont="1" applyBorder="1" applyAlignment="1" applyProtection="1">
      <alignment horizontal="center" vertical="center" wrapText="1"/>
    </xf>
    <xf numFmtId="0" fontId="5" fillId="0" borderId="0" xfId="41" applyFont="1" applyBorder="1" applyAlignment="1" applyProtection="1">
      <alignment horizontal="right" vertical="top"/>
    </xf>
    <xf numFmtId="0" fontId="5" fillId="0" borderId="0" xfId="41" applyFont="1" applyBorder="1" applyAlignment="1" applyProtection="1">
      <alignment horizontal="left" vertical="top" wrapText="1"/>
    </xf>
    <xf numFmtId="176" fontId="3" fillId="0" borderId="0" xfId="0" applyNumberFormat="1" applyFont="1" applyFill="1" applyBorder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5" fillId="0" borderId="16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7" fillId="0" borderId="9" xfId="0" applyFont="1" applyBorder="1" applyAlignment="1" applyProtection="1">
      <alignment horizontal="center" vertical="center"/>
    </xf>
    <xf numFmtId="0" fontId="5" fillId="19" borderId="25" xfId="0" applyFont="1" applyFill="1" applyBorder="1" applyAlignment="1" applyProtection="1">
      <alignment horizontal="right" vertical="center" textRotation="90" wrapText="1"/>
    </xf>
    <xf numFmtId="0" fontId="5" fillId="19" borderId="16" xfId="0" applyFont="1" applyFill="1" applyBorder="1" applyAlignment="1" applyProtection="1">
      <alignment horizontal="right" vertical="center" textRotation="90" wrapText="1"/>
    </xf>
    <xf numFmtId="0" fontId="5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0" fillId="18" borderId="26" xfId="0" applyFill="1" applyBorder="1" applyAlignment="1" applyProtection="1">
      <alignment horizontal="left" vertical="top" wrapText="1"/>
      <protection locked="0"/>
    </xf>
    <xf numFmtId="0" fontId="0" fillId="18" borderId="0" xfId="0" applyFill="1" applyBorder="1" applyAlignment="1" applyProtection="1">
      <alignment horizontal="left" vertical="top" wrapText="1"/>
      <protection locked="0"/>
    </xf>
    <xf numFmtId="0" fontId="0" fillId="18" borderId="16" xfId="0" applyFill="1" applyBorder="1" applyAlignment="1" applyProtection="1">
      <alignment horizontal="left" vertical="top" wrapText="1"/>
      <protection locked="0"/>
    </xf>
    <xf numFmtId="0" fontId="8" fillId="0" borderId="26" xfId="0" applyFont="1" applyFill="1" applyBorder="1" applyAlignment="1" applyProtection="1">
      <alignment horizontal="center" vertical="center" wrapText="1"/>
    </xf>
    <xf numFmtId="0" fontId="8" fillId="0" borderId="53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8" fillId="0" borderId="5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73" fontId="8" fillId="0" borderId="11" xfId="0" applyNumberFormat="1" applyFont="1" applyFill="1" applyBorder="1" applyAlignment="1" applyProtection="1">
      <alignment horizontal="left" vertical="center" wrapText="1"/>
    </xf>
    <xf numFmtId="173" fontId="8" fillId="0" borderId="66" xfId="0" applyNumberFormat="1" applyFont="1" applyFill="1" applyBorder="1" applyAlignment="1" applyProtection="1">
      <alignment horizontal="left" vertical="center" wrapText="1"/>
    </xf>
    <xf numFmtId="0" fontId="26" fillId="19" borderId="11" xfId="0" applyFont="1" applyFill="1" applyBorder="1" applyAlignment="1" applyProtection="1">
      <alignment horizontal="right" vertical="center" textRotation="90" wrapText="1"/>
    </xf>
    <xf numFmtId="0" fontId="26" fillId="19" borderId="9" xfId="0" applyFont="1" applyFill="1" applyBorder="1" applyAlignment="1" applyProtection="1">
      <alignment horizontal="right" vertical="center" textRotation="90" wrapText="1"/>
    </xf>
    <xf numFmtId="0" fontId="42" fillId="0" borderId="11" xfId="0" applyFont="1" applyBorder="1" applyAlignment="1" applyProtection="1">
      <alignment horizontal="center" vertical="center"/>
    </xf>
    <xf numFmtId="0" fontId="7" fillId="0" borderId="26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7" fillId="0" borderId="28" xfId="0" applyFont="1" applyBorder="1" applyAlignment="1" applyProtection="1">
      <alignment horizontal="center" vertical="center" wrapText="1"/>
    </xf>
    <xf numFmtId="0" fontId="7" fillId="0" borderId="29" xfId="0" applyFont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66" xfId="0" applyFont="1" applyFill="1" applyBorder="1" applyAlignment="1" applyProtection="1">
      <alignment horizontal="center" vertical="center" wrapText="1"/>
    </xf>
    <xf numFmtId="4" fontId="8" fillId="0" borderId="65" xfId="0" applyNumberFormat="1" applyFont="1" applyFill="1" applyBorder="1" applyAlignment="1" applyProtection="1">
      <alignment horizontal="center" vertical="center" wrapText="1"/>
    </xf>
    <xf numFmtId="4" fontId="8" fillId="0" borderId="11" xfId="0" applyNumberFormat="1" applyFont="1" applyFill="1" applyBorder="1" applyAlignment="1" applyProtection="1">
      <alignment horizontal="center" vertical="center" wrapText="1"/>
    </xf>
    <xf numFmtId="4" fontId="8" fillId="0" borderId="9" xfId="0" applyNumberFormat="1" applyFont="1" applyFill="1" applyBorder="1" applyAlignment="1" applyProtection="1">
      <alignment horizontal="center" vertical="center" wrapText="1"/>
    </xf>
    <xf numFmtId="174" fontId="5" fillId="0" borderId="19" xfId="37" applyNumberFormat="1" applyFont="1" applyFill="1" applyBorder="1" applyAlignment="1" applyProtection="1">
      <alignment horizontal="center" vertical="center" shrinkToFit="1"/>
    </xf>
    <xf numFmtId="174" fontId="5" fillId="0" borderId="22" xfId="37" applyNumberFormat="1" applyFont="1" applyFill="1" applyBorder="1" applyAlignment="1" applyProtection="1">
      <alignment horizontal="center" vertical="center" shrinkToFit="1"/>
    </xf>
    <xf numFmtId="0" fontId="33" fillId="0" borderId="41" xfId="0" applyFont="1" applyBorder="1" applyAlignment="1" applyProtection="1">
      <alignment horizontal="center" vertical="center" wrapText="1"/>
    </xf>
    <xf numFmtId="0" fontId="33" fillId="0" borderId="43" xfId="0" applyFont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/>
    </xf>
    <xf numFmtId="0" fontId="33" fillId="0" borderId="67" xfId="0" applyFont="1" applyBorder="1" applyAlignment="1" applyProtection="1">
      <alignment horizontal="center" vertical="center" wrapText="1"/>
    </xf>
    <xf numFmtId="0" fontId="33" fillId="0" borderId="17" xfId="0" applyFont="1" applyBorder="1" applyAlignment="1" applyProtection="1">
      <alignment horizontal="center" vertical="center" wrapText="1"/>
    </xf>
    <xf numFmtId="0" fontId="33" fillId="0" borderId="18" xfId="0" applyFont="1" applyBorder="1" applyAlignment="1" applyProtection="1">
      <alignment horizontal="center" vertical="center" wrapText="1"/>
    </xf>
    <xf numFmtId="174" fontId="5" fillId="0" borderId="30" xfId="37" applyNumberFormat="1" applyFont="1" applyFill="1" applyBorder="1" applyAlignment="1" applyProtection="1">
      <alignment horizontal="center" vertical="center" shrinkToFit="1"/>
    </xf>
    <xf numFmtId="174" fontId="5" fillId="0" borderId="31" xfId="37" applyNumberFormat="1" applyFont="1" applyFill="1" applyBorder="1" applyAlignment="1" applyProtection="1">
      <alignment horizontal="center" vertical="center" shrinkToFit="1"/>
    </xf>
    <xf numFmtId="165" fontId="5" fillId="0" borderId="30" xfId="37" applyNumberFormat="1" applyFont="1" applyFill="1" applyBorder="1" applyAlignment="1" applyProtection="1">
      <alignment horizontal="center" vertical="center" shrinkToFit="1"/>
    </xf>
    <xf numFmtId="165" fontId="5" fillId="0" borderId="31" xfId="37" applyNumberFormat="1" applyFont="1" applyFill="1" applyBorder="1" applyAlignment="1" applyProtection="1">
      <alignment horizontal="center" vertical="center" shrinkToFit="1"/>
    </xf>
    <xf numFmtId="0" fontId="32" fillId="24" borderId="0" xfId="0" applyFont="1" applyFill="1" applyBorder="1" applyAlignment="1" applyProtection="1">
      <alignment horizontal="center" vertical="center" wrapText="1"/>
    </xf>
    <xf numFmtId="165" fontId="5" fillId="0" borderId="33" xfId="37" applyNumberFormat="1" applyFont="1" applyFill="1" applyBorder="1" applyAlignment="1" applyProtection="1">
      <alignment horizontal="center" vertical="center" shrinkToFit="1"/>
    </xf>
    <xf numFmtId="165" fontId="5" fillId="0" borderId="34" xfId="37" applyNumberFormat="1" applyFont="1" applyFill="1" applyBorder="1" applyAlignment="1" applyProtection="1">
      <alignment horizontal="center" vertical="center" shrinkToFit="1"/>
    </xf>
    <xf numFmtId="174" fontId="5" fillId="18" borderId="33" xfId="37" applyNumberFormat="1" applyFont="1" applyFill="1" applyBorder="1" applyAlignment="1" applyProtection="1">
      <alignment horizontal="center" vertical="center" shrinkToFit="1"/>
      <protection locked="0"/>
    </xf>
    <xf numFmtId="174" fontId="5" fillId="18" borderId="34" xfId="37" applyNumberFormat="1" applyFont="1" applyFill="1" applyBorder="1" applyAlignment="1" applyProtection="1">
      <alignment horizontal="center" vertical="center" shrinkToFit="1"/>
      <protection locked="0"/>
    </xf>
    <xf numFmtId="0" fontId="26" fillId="0" borderId="16" xfId="0" applyFont="1" applyBorder="1" applyAlignment="1" applyProtection="1">
      <alignment horizontal="center" wrapText="1"/>
    </xf>
    <xf numFmtId="0" fontId="37" fillId="0" borderId="21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/>
    </xf>
    <xf numFmtId="0" fontId="1" fillId="0" borderId="0" xfId="0" applyFont="1" applyFill="1" applyAlignment="1" applyProtection="1">
      <alignment horizontal="center" wrapText="1"/>
    </xf>
    <xf numFmtId="0" fontId="1" fillId="0" borderId="0" xfId="0" applyFont="1" applyFill="1" applyAlignment="1" applyProtection="1">
      <alignment horizontal="center"/>
    </xf>
    <xf numFmtId="0" fontId="5" fillId="0" borderId="20" xfId="41" applyFont="1" applyBorder="1" applyAlignment="1" applyProtection="1">
      <alignment horizontal="left"/>
    </xf>
    <xf numFmtId="0" fontId="5" fillId="0" borderId="11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/>
    </xf>
    <xf numFmtId="0" fontId="7" fillId="0" borderId="26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7" fillId="0" borderId="16" xfId="0" applyFont="1" applyBorder="1" applyProtection="1"/>
    <xf numFmtId="0" fontId="1" fillId="18" borderId="0" xfId="0" applyFont="1" applyFill="1" applyAlignment="1" applyProtection="1">
      <alignment horizontal="left"/>
      <protection locked="0"/>
    </xf>
    <xf numFmtId="0" fontId="3" fillId="18" borderId="0" xfId="0" applyFont="1" applyFill="1" applyAlignment="1" applyProtection="1">
      <alignment horizontal="left"/>
      <protection locked="0"/>
    </xf>
    <xf numFmtId="0" fontId="2" fillId="0" borderId="26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66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/>
    </xf>
    <xf numFmtId="0" fontId="5" fillId="0" borderId="25" xfId="0" applyFont="1" applyBorder="1" applyAlignment="1" applyProtection="1">
      <alignment horizontal="center"/>
    </xf>
    <xf numFmtId="0" fontId="5" fillId="19" borderId="15" xfId="0" applyFont="1" applyFill="1" applyBorder="1" applyAlignment="1" applyProtection="1">
      <alignment horizontal="center" vertical="center" wrapText="1"/>
    </xf>
    <xf numFmtId="0" fontId="5" fillId="19" borderId="26" xfId="0" applyFont="1" applyFill="1" applyBorder="1" applyAlignment="1" applyProtection="1">
      <alignment horizontal="center" vertical="center" wrapText="1"/>
    </xf>
    <xf numFmtId="0" fontId="5" fillId="19" borderId="16" xfId="0" applyFont="1" applyFill="1" applyBorder="1" applyAlignment="1" applyProtection="1">
      <alignment horizontal="center" vertical="center" wrapText="1"/>
    </xf>
    <xf numFmtId="0" fontId="5" fillId="19" borderId="28" xfId="0" applyFont="1" applyFill="1" applyBorder="1" applyAlignment="1" applyProtection="1">
      <alignment horizontal="center" vertical="center" wrapText="1"/>
    </xf>
    <xf numFmtId="4" fontId="24" fillId="0" borderId="15" xfId="0" applyNumberFormat="1" applyFont="1" applyBorder="1" applyAlignment="1" applyProtection="1">
      <alignment horizontal="center"/>
    </xf>
    <xf numFmtId="4" fontId="24" fillId="0" borderId="25" xfId="0" applyNumberFormat="1" applyFont="1" applyBorder="1" applyAlignment="1" applyProtection="1">
      <alignment horizontal="center"/>
    </xf>
    <xf numFmtId="0" fontId="5" fillId="0" borderId="26" xfId="0" applyFont="1" applyFill="1" applyBorder="1" applyAlignment="1" applyProtection="1">
      <alignment horizontal="right" vertical="center" wrapText="1"/>
    </xf>
    <xf numFmtId="0" fontId="5" fillId="0" borderId="16" xfId="0" applyFont="1" applyFill="1" applyBorder="1" applyAlignment="1" applyProtection="1">
      <alignment horizontal="right" vertical="center" wrapText="1"/>
    </xf>
    <xf numFmtId="0" fontId="44" fillId="0" borderId="20" xfId="0" applyFont="1" applyBorder="1" applyAlignment="1" applyProtection="1">
      <alignment horizontal="right" vertical="center"/>
    </xf>
    <xf numFmtId="0" fontId="44" fillId="0" borderId="0" xfId="0" applyFont="1" applyBorder="1" applyAlignment="1" applyProtection="1">
      <alignment horizontal="right" vertical="center"/>
    </xf>
    <xf numFmtId="0" fontId="3" fillId="18" borderId="0" xfId="41" applyFont="1" applyFill="1" applyBorder="1" applyAlignment="1" applyProtection="1">
      <alignment horizontal="left" vertical="top" wrapText="1"/>
      <protection locked="0"/>
    </xf>
    <xf numFmtId="0" fontId="5" fillId="0" borderId="20" xfId="41" applyFont="1" applyBorder="1" applyAlignment="1" applyProtection="1">
      <alignment horizontal="left" wrapText="1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5" fillId="0" borderId="26" xfId="0" applyFont="1" applyFill="1" applyBorder="1" applyAlignment="1" applyProtection="1">
      <alignment horizontal="right" vertical="center" shrinkToFit="1"/>
    </xf>
    <xf numFmtId="0" fontId="5" fillId="0" borderId="16" xfId="0" applyFont="1" applyFill="1" applyBorder="1" applyAlignment="1" applyProtection="1">
      <alignment horizontal="right" vertical="center" shrinkToFit="1"/>
    </xf>
    <xf numFmtId="0" fontId="33" fillId="0" borderId="16" xfId="0" applyFont="1" applyBorder="1" applyAlignment="1" applyProtection="1">
      <alignment horizontal="center" vertical="center" wrapText="1"/>
    </xf>
    <xf numFmtId="0" fontId="1" fillId="18" borderId="0" xfId="41" applyFont="1" applyFill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center" vertical="center" wrapText="1"/>
    </xf>
    <xf numFmtId="10" fontId="28" fillId="19" borderId="25" xfId="37" applyNumberFormat="1" applyFont="1" applyFill="1" applyBorder="1" applyAlignment="1" applyProtection="1">
      <alignment horizontal="center" vertical="center" shrinkToFit="1"/>
    </xf>
    <xf numFmtId="10" fontId="28" fillId="19" borderId="16" xfId="37" applyNumberFormat="1" applyFont="1" applyFill="1" applyBorder="1" applyAlignment="1" applyProtection="1">
      <alignment horizontal="center" vertical="center" shrinkToFit="1"/>
    </xf>
    <xf numFmtId="10" fontId="28" fillId="19" borderId="29" xfId="37" applyNumberFormat="1" applyFont="1" applyFill="1" applyBorder="1" applyAlignment="1" applyProtection="1">
      <alignment horizontal="center" vertical="center" shrinkToFit="1"/>
    </xf>
    <xf numFmtId="0" fontId="7" fillId="0" borderId="11" xfId="0" applyFont="1" applyBorder="1" applyAlignment="1" applyProtection="1">
      <alignment wrapText="1"/>
    </xf>
    <xf numFmtId="0" fontId="0" fillId="18" borderId="13" xfId="0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 applyProtection="1">
      <alignment horizontal="right" vertical="center" wrapText="1"/>
    </xf>
    <xf numFmtId="0" fontId="5" fillId="0" borderId="25" xfId="0" applyFont="1" applyFill="1" applyBorder="1" applyAlignment="1" applyProtection="1">
      <alignment horizontal="right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19" borderId="28" xfId="0" applyFont="1" applyFill="1" applyBorder="1" applyAlignment="1" applyProtection="1">
      <alignment horizontal="right" vertical="center" wrapText="1"/>
    </xf>
    <xf numFmtId="0" fontId="5" fillId="19" borderId="29" xfId="0" applyFont="1" applyFill="1" applyBorder="1" applyAlignment="1" applyProtection="1">
      <alignment horizontal="right" vertical="center" wrapText="1"/>
    </xf>
    <xf numFmtId="165" fontId="0" fillId="0" borderId="28" xfId="0" applyNumberFormat="1" applyBorder="1" applyAlignment="1" applyProtection="1">
      <alignment horizontal="center" shrinkToFit="1"/>
    </xf>
    <xf numFmtId="165" fontId="0" fillId="0" borderId="29" xfId="0" applyNumberFormat="1" applyBorder="1" applyAlignment="1" applyProtection="1">
      <alignment horizontal="center" shrinkToFit="1"/>
    </xf>
    <xf numFmtId="0" fontId="2" fillId="0" borderId="0" xfId="40" applyNumberFormat="1" applyFont="1" applyFill="1" applyBorder="1" applyAlignment="1" applyProtection="1">
      <alignment horizontal="left" vertical="top"/>
    </xf>
    <xf numFmtId="0" fontId="2" fillId="0" borderId="35" xfId="40" applyFont="1" applyBorder="1" applyAlignment="1" applyProtection="1">
      <alignment horizontal="right"/>
    </xf>
    <xf numFmtId="0" fontId="2" fillId="0" borderId="14" xfId="40" applyFont="1" applyBorder="1" applyAlignment="1" applyProtection="1">
      <alignment horizontal="right"/>
    </xf>
    <xf numFmtId="167" fontId="26" fillId="0" borderId="14" xfId="40" applyNumberFormat="1" applyFont="1" applyFill="1" applyBorder="1" applyAlignment="1" applyProtection="1">
      <alignment horizontal="center" vertical="top" shrinkToFit="1"/>
    </xf>
    <xf numFmtId="167" fontId="26" fillId="0" borderId="37" xfId="40" applyNumberFormat="1" applyFont="1" applyFill="1" applyBorder="1" applyAlignment="1" applyProtection="1">
      <alignment horizontal="center" vertical="top" shrinkToFit="1"/>
    </xf>
    <xf numFmtId="0" fontId="2" fillId="0" borderId="46" xfId="40" applyFont="1" applyBorder="1" applyAlignment="1" applyProtection="1">
      <alignment horizontal="right"/>
    </xf>
    <xf numFmtId="0" fontId="2" fillId="0" borderId="47" xfId="40" applyFont="1" applyBorder="1" applyAlignment="1" applyProtection="1">
      <alignment horizontal="right"/>
    </xf>
    <xf numFmtId="0" fontId="2" fillId="25" borderId="0" xfId="40" applyFont="1" applyFill="1" applyBorder="1" applyAlignment="1" applyProtection="1">
      <alignment horizontal="left" vertical="top" wrapText="1"/>
      <protection locked="0"/>
    </xf>
    <xf numFmtId="0" fontId="3" fillId="0" borderId="0" xfId="40" applyAlignment="1">
      <alignment horizontal="left"/>
    </xf>
    <xf numFmtId="0" fontId="2" fillId="0" borderId="0" xfId="40" applyNumberFormat="1" applyFont="1" applyFill="1" applyBorder="1" applyAlignment="1" applyProtection="1">
      <alignment horizontal="left"/>
    </xf>
    <xf numFmtId="0" fontId="2" fillId="0" borderId="0" xfId="40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left" vertical="top" wrapText="1"/>
    </xf>
    <xf numFmtId="0" fontId="2" fillId="0" borderId="0" xfId="40" applyFont="1" applyAlignment="1" applyProtection="1">
      <alignment horizontal="left" wrapText="1"/>
    </xf>
    <xf numFmtId="0" fontId="2" fillId="0" borderId="50" xfId="40" applyFont="1" applyFill="1" applyBorder="1" applyAlignment="1" applyProtection="1">
      <alignment horizontal="center" vertical="center" wrapText="1"/>
    </xf>
    <xf numFmtId="0" fontId="2" fillId="0" borderId="14" xfId="40" applyFont="1" applyFill="1" applyBorder="1" applyAlignment="1" applyProtection="1">
      <alignment horizontal="center" vertical="center" wrapText="1"/>
    </xf>
    <xf numFmtId="0" fontId="2" fillId="0" borderId="50" xfId="40" applyFont="1" applyBorder="1" applyAlignment="1" applyProtection="1">
      <alignment horizontal="center" vertical="center" wrapText="1"/>
    </xf>
    <xf numFmtId="0" fontId="2" fillId="0" borderId="48" xfId="40" applyFont="1" applyBorder="1" applyAlignment="1" applyProtection="1">
      <alignment horizontal="center" vertical="center" wrapText="1"/>
    </xf>
    <xf numFmtId="0" fontId="2" fillId="0" borderId="14" xfId="40" applyFont="1" applyBorder="1" applyAlignment="1" applyProtection="1">
      <alignment horizontal="center" vertical="center" wrapText="1"/>
    </xf>
    <xf numFmtId="0" fontId="2" fillId="0" borderId="37" xfId="40" applyFont="1" applyBorder="1" applyAlignment="1" applyProtection="1">
      <alignment horizontal="center" vertical="center" wrapText="1"/>
    </xf>
    <xf numFmtId="0" fontId="2" fillId="0" borderId="49" xfId="40" applyFont="1" applyBorder="1" applyAlignment="1" applyProtection="1">
      <alignment horizontal="center"/>
    </xf>
    <xf numFmtId="0" fontId="2" fillId="0" borderId="50" xfId="40" applyFont="1" applyBorder="1" applyAlignment="1" applyProtection="1">
      <alignment horizontal="center"/>
    </xf>
    <xf numFmtId="0" fontId="2" fillId="0" borderId="35" xfId="40" applyFont="1" applyBorder="1" applyAlignment="1" applyProtection="1">
      <alignment horizontal="center"/>
    </xf>
    <xf numFmtId="0" fontId="2" fillId="0" borderId="14" xfId="40" applyFont="1" applyBorder="1" applyAlignment="1" applyProtection="1">
      <alignment horizontal="center"/>
    </xf>
    <xf numFmtId="0" fontId="2" fillId="0" borderId="0" xfId="40" applyFont="1" applyFill="1" applyBorder="1" applyAlignment="1" applyProtection="1">
      <alignment horizontal="left" shrinkToFit="1"/>
    </xf>
    <xf numFmtId="0" fontId="2" fillId="25" borderId="0" xfId="40" applyFont="1" applyFill="1" applyBorder="1" applyAlignment="1" applyProtection="1">
      <alignment horizontal="left" vertical="top"/>
      <protection locked="0"/>
    </xf>
    <xf numFmtId="10" fontId="26" fillId="0" borderId="47" xfId="40" applyNumberFormat="1" applyFont="1" applyFill="1" applyBorder="1" applyAlignment="1" applyProtection="1">
      <alignment horizontal="center" vertical="top" shrinkToFit="1"/>
    </xf>
    <xf numFmtId="10" fontId="26" fillId="0" borderId="45" xfId="40" applyNumberFormat="1" applyFont="1" applyFill="1" applyBorder="1" applyAlignment="1" applyProtection="1">
      <alignment horizontal="center" vertical="top" shrinkToFit="1"/>
    </xf>
    <xf numFmtId="0" fontId="2" fillId="0" borderId="0" xfId="40" applyFont="1" applyAlignment="1" applyProtection="1">
      <alignment horizontal="left" vertical="top" wrapText="1"/>
    </xf>
    <xf numFmtId="0" fontId="2" fillId="0" borderId="0" xfId="40" applyFont="1" applyFill="1" applyBorder="1" applyAlignment="1" applyProtection="1">
      <alignment horizontal="left"/>
    </xf>
    <xf numFmtId="166" fontId="2" fillId="0" borderId="0" xfId="40" applyNumberFormat="1" applyFont="1" applyFill="1" applyBorder="1" applyAlignment="1" applyProtection="1">
      <alignment horizontal="right"/>
    </xf>
    <xf numFmtId="49" fontId="2" fillId="25" borderId="0" xfId="40" applyNumberFormat="1" applyFont="1" applyFill="1" applyBorder="1" applyAlignment="1" applyProtection="1">
      <alignment horizontal="left"/>
      <protection locked="0"/>
    </xf>
    <xf numFmtId="0" fontId="2" fillId="0" borderId="0" xfId="40" applyFont="1" applyFill="1" applyBorder="1" applyAlignment="1" applyProtection="1">
      <alignment horizontal="left" vertical="top"/>
    </xf>
    <xf numFmtId="0" fontId="2" fillId="0" borderId="0" xfId="40" applyFont="1" applyAlignment="1" applyProtection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</cellXfs>
  <cellStyles count="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cel Built-in Norma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Moeda" xfId="37" builtinId="4"/>
    <cellStyle name="Moeda 2" xfId="38"/>
    <cellStyle name="Neutral" xfId="39"/>
    <cellStyle name="Normal" xfId="0" builtinId="0"/>
    <cellStyle name="Normal 2" xfId="40"/>
    <cellStyle name="Normal_FICHA DE VERIFICAÇÃO PRELIMINAR - Plano R" xfId="41"/>
    <cellStyle name="Note" xfId="42"/>
    <cellStyle name="Output" xfId="43"/>
    <cellStyle name="Title" xfId="44"/>
    <cellStyle name="Warning Text" xfId="45"/>
  </cellStyles>
  <dxfs count="85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rgb="FF969696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lor rgb="FF969696"/>
      </font>
      <fill>
        <patternFill>
          <bgColor indexed="5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lor rgb="FF969696"/>
      </font>
      <fill>
        <patternFill>
          <bgColor indexed="5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</font>
    </dxf>
    <dxf>
      <font>
        <color theme="0"/>
      </font>
      <fill>
        <patternFill patternType="none">
          <bgColor indexed="65"/>
        </patternFill>
      </fill>
    </dxf>
    <dxf>
      <font>
        <color rgb="FF969696"/>
      </font>
      <fill>
        <patternFill>
          <bgColor rgb="FF969696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  <fill>
        <patternFill>
          <bgColor indexed="55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  <fill>
        <patternFill>
          <bgColor indexed="55"/>
        </patternFill>
      </fill>
    </dxf>
    <dxf>
      <font>
        <b/>
        <i val="0"/>
        <condense val="0"/>
        <extend val="0"/>
      </font>
    </dxf>
    <dxf>
      <font>
        <b/>
        <i val="0"/>
      </font>
      <fill>
        <patternFill>
          <bgColor indexed="55"/>
        </patternFill>
      </fill>
    </dxf>
    <dxf>
      <font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</font>
      <fill>
        <patternFill>
          <bgColor indexed="5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b/>
        <i val="0"/>
        <condense val="0"/>
        <extend val="0"/>
      </font>
      <border>
        <top style="thin">
          <color indexed="64"/>
        </top>
      </border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23"/>
        </patternFill>
      </fill>
    </dxf>
    <dxf>
      <font>
        <b/>
        <i val="0"/>
        <condense val="0"/>
        <extend val="0"/>
      </font>
      <border>
        <top style="thin">
          <color indexed="64"/>
        </top>
      </border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b/>
        <i val="0"/>
        <condense val="0"/>
        <extend val="0"/>
      </font>
      <border>
        <top/>
      </border>
    </dxf>
    <dxf>
      <font>
        <b/>
        <i val="0"/>
      </font>
      <fill>
        <patternFill>
          <bgColor indexed="55"/>
        </patternFill>
      </fill>
      <border>
        <top/>
      </border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b/>
        <i val="0"/>
        <condense val="0"/>
        <extend val="0"/>
      </font>
      <border>
        <top style="thin">
          <color indexed="64"/>
        </top>
      </border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b val="0"/>
        <i val="0"/>
        <color theme="0"/>
        <name val="Calibri Light"/>
        <scheme val="none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B$6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843915</xdr:colOff>
      <xdr:row>40</xdr:row>
      <xdr:rowOff>28575</xdr:rowOff>
    </xdr:from>
    <xdr:to>
      <xdr:col>2</xdr:col>
      <xdr:colOff>219075</xdr:colOff>
      <xdr:row>43</xdr:row>
      <xdr:rowOff>76200</xdr:rowOff>
    </xdr:to>
    <xdr:sp macro="[0]!start1" textlink="">
      <xdr:nvSpPr>
        <xdr:cNvPr id="5228" name="FiltroButton">
          <a:extLst>
            <a:ext uri="{FF2B5EF4-FFF2-40B4-BE49-F238E27FC236}">
              <a16:creationId xmlns="" xmlns:a16="http://schemas.microsoft.com/office/drawing/2014/main" id="{C54E35C8-FC46-4086-922C-BC19572AA54F}"/>
            </a:ext>
          </a:extLst>
        </xdr:cNvPr>
        <xdr:cNvSpPr txBox="1">
          <a:spLocks noChangeArrowheads="1"/>
        </xdr:cNvSpPr>
      </xdr:nvSpPr>
      <xdr:spPr bwMode="auto">
        <a:xfrm>
          <a:off x="828675" y="6562725"/>
          <a:ext cx="1619250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53882" dir="2700000" algn="ctr" rotWithShape="0">
            <a:srgbClr xmlns:mc="http://schemas.openxmlformats.org/markup-compatibility/2006" xmlns:a14="http://schemas.microsoft.com/office/drawing/2010/main" val="000080" mc:Ignorable="a14" a14:legacySpreadsheetColorIndex="18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PREENCHER QCI</a:t>
          </a:r>
        </a:p>
      </xdr:txBody>
    </xdr:sp>
    <xdr:clientData fPrintsWithSheet="0"/>
  </xdr:twoCellAnchor>
  <xdr:twoCellAnchor editAs="absolute">
    <xdr:from>
      <xdr:col>4</xdr:col>
      <xdr:colOff>1929765</xdr:colOff>
      <xdr:row>12</xdr:row>
      <xdr:rowOff>57150</xdr:rowOff>
    </xdr:from>
    <xdr:to>
      <xdr:col>5</xdr:col>
      <xdr:colOff>796418</xdr:colOff>
      <xdr:row>15</xdr:row>
      <xdr:rowOff>104775</xdr:rowOff>
    </xdr:to>
    <xdr:sp macro="[0]!ImportQCI" textlink="">
      <xdr:nvSpPr>
        <xdr:cNvPr id="3" name="FiltroButton">
          <a:extLst>
            <a:ext uri="{FF2B5EF4-FFF2-40B4-BE49-F238E27FC236}">
              <a16:creationId xmlns="" xmlns:a16="http://schemas.microsoft.com/office/drawing/2014/main" id="{32B80102-5D77-465B-9266-F0D058D3B23A}"/>
            </a:ext>
          </a:extLst>
        </xdr:cNvPr>
        <xdr:cNvSpPr txBox="1">
          <a:spLocks noChangeArrowheads="1"/>
        </xdr:cNvSpPr>
      </xdr:nvSpPr>
      <xdr:spPr bwMode="auto">
        <a:xfrm>
          <a:off x="6667500" y="2314575"/>
          <a:ext cx="1619250" cy="533400"/>
        </a:xfrm>
        <a:prstGeom prst="rect">
          <a:avLst/>
        </a:prstGeom>
        <a:solidFill>
          <a:schemeClr val="bg1">
            <a:lumMod val="7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53882" dir="2700000" algn="ctr" rotWithShape="0">
            <a:srgbClr xmlns:mc="http://schemas.openxmlformats.org/markup-compatibility/2006" xmlns:a14="http://schemas.microsoft.com/office/drawing/2010/main" val="000080" mc:Ignorable="a14" a14:legacySpreadsheetColorIndex="18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IMPORTAR DE OUTRO QCI</a:t>
          </a:r>
        </a:p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MO 41.211</a:t>
          </a:r>
        </a:p>
      </xdr:txBody>
    </xdr:sp>
    <xdr:clientData fPrintsWithSheet="0"/>
  </xdr:twoCellAnchor>
  <xdr:twoCellAnchor editAs="absolute">
    <xdr:from>
      <xdr:col>5</xdr:col>
      <xdr:colOff>1316355</xdr:colOff>
      <xdr:row>12</xdr:row>
      <xdr:rowOff>57150</xdr:rowOff>
    </xdr:from>
    <xdr:to>
      <xdr:col>6</xdr:col>
      <xdr:colOff>1569738</xdr:colOff>
      <xdr:row>15</xdr:row>
      <xdr:rowOff>104775</xdr:rowOff>
    </xdr:to>
    <xdr:sp macro="[0]!ImportCabecalho" textlink="">
      <xdr:nvSpPr>
        <xdr:cNvPr id="4" name="FiltroButton">
          <a:extLst>
            <a:ext uri="{FF2B5EF4-FFF2-40B4-BE49-F238E27FC236}">
              <a16:creationId xmlns="" xmlns:a16="http://schemas.microsoft.com/office/drawing/2014/main" id="{2798796E-3669-4389-80FB-B00058F34BDE}"/>
            </a:ext>
          </a:extLst>
        </xdr:cNvPr>
        <xdr:cNvSpPr txBox="1">
          <a:spLocks noChangeArrowheads="1"/>
        </xdr:cNvSpPr>
      </xdr:nvSpPr>
      <xdr:spPr bwMode="auto">
        <a:xfrm>
          <a:off x="8791575" y="2314575"/>
          <a:ext cx="1619250" cy="533400"/>
        </a:xfrm>
        <a:prstGeom prst="rect">
          <a:avLst/>
        </a:prstGeom>
        <a:solidFill>
          <a:schemeClr val="bg1">
            <a:lumMod val="7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53882" dir="2700000" algn="ctr" rotWithShape="0">
            <a:srgbClr xmlns:mc="http://schemas.openxmlformats.org/markup-compatibility/2006" xmlns:a14="http://schemas.microsoft.com/office/drawing/2010/main" val="000080" mc:Ignorable="a14" a14:legacySpreadsheetColorIndex="18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IMPORTAR CABEÇALHO DE OUTRO MO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106680</xdr:colOff>
          <xdr:row>3</xdr:row>
          <xdr:rowOff>83820</xdr:rowOff>
        </xdr:from>
        <xdr:to>
          <xdr:col>14</xdr:col>
          <xdr:colOff>1028700</xdr:colOff>
          <xdr:row>3</xdr:row>
          <xdr:rowOff>1257300</xdr:rowOff>
        </xdr:to>
        <xdr:pic>
          <xdr:nvPicPr>
            <xdr:cNvPr id="25623" name="Picture 43" descr="Sem título"/>
            <xdr:cNvPicPr preferRelativeResize="0">
              <a:picLocks noChangeAspect="1" noChangeArrowheads="1"/>
              <a:extLst>
                <a:ext uri="{84589F7E-364E-4C9E-8A38-B11213B215E9}">
                  <a14:cameraTool cellRange="DADOS!$A$21:$J$29" spid="_x0000_s256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13360" y="411480"/>
              <a:ext cx="14958060" cy="11734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absolute">
    <xdr:from>
      <xdr:col>1</xdr:col>
      <xdr:colOff>209550</xdr:colOff>
      <xdr:row>3</xdr:row>
      <xdr:rowOff>1409700</xdr:rowOff>
    </xdr:from>
    <xdr:to>
      <xdr:col>3</xdr:col>
      <xdr:colOff>180975</xdr:colOff>
      <xdr:row>6</xdr:row>
      <xdr:rowOff>76200</xdr:rowOff>
    </xdr:to>
    <xdr:sp macro="[0]!EditarPlan" textlink="">
      <xdr:nvSpPr>
        <xdr:cNvPr id="1398" name="FiltroButton">
          <a:extLst>
            <a:ext uri="{FF2B5EF4-FFF2-40B4-BE49-F238E27FC236}">
              <a16:creationId xmlns="" xmlns:a16="http://schemas.microsoft.com/office/drawing/2014/main" id="{DB35A440-2A17-4FFB-A671-D10590488CA0}"/>
            </a:ext>
          </a:extLst>
        </xdr:cNvPr>
        <xdr:cNvSpPr txBox="1">
          <a:spLocks noChangeArrowheads="1"/>
        </xdr:cNvSpPr>
      </xdr:nvSpPr>
      <xdr:spPr bwMode="auto">
        <a:xfrm>
          <a:off x="314325" y="1733550"/>
          <a:ext cx="106680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53882" dir="2700000" algn="ctr" rotWithShape="0">
            <a:srgbClr xmlns:mc="http://schemas.openxmlformats.org/markup-compatibility/2006" xmlns:a14="http://schemas.microsoft.com/office/drawing/2010/main" val="000080" mc:Ignorable="a14" a14:legacySpreadsheetColorIndex="18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EDITAR QUADRO</a:t>
          </a:r>
        </a:p>
      </xdr:txBody>
    </xdr:sp>
    <xdr:clientData fPrintsWithSheet="0"/>
  </xdr:twoCellAnchor>
  <xdr:twoCellAnchor>
    <xdr:from>
      <xdr:col>1</xdr:col>
      <xdr:colOff>129540</xdr:colOff>
      <xdr:row>0</xdr:row>
      <xdr:rowOff>0</xdr:rowOff>
    </xdr:from>
    <xdr:to>
      <xdr:col>3</xdr:col>
      <xdr:colOff>312420</xdr:colOff>
      <xdr:row>2</xdr:row>
      <xdr:rowOff>137160</xdr:rowOff>
    </xdr:to>
    <xdr:sp macro="" textlink="">
      <xdr:nvSpPr>
        <xdr:cNvPr id="1119" name="Object 95" hidden="1">
          <a:extLst>
            <a:ext uri="{63B3BB69-23CF-44E3-9099-C40C66FF867C}">
              <a14:compatExt xmlns:a14="http://schemas.microsoft.com/office/drawing/2010/main" spid="_x0000_s1119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13</xdr:col>
      <xdr:colOff>114299</xdr:colOff>
      <xdr:row>3</xdr:row>
      <xdr:rowOff>1409700</xdr:rowOff>
    </xdr:from>
    <xdr:to>
      <xdr:col>14</xdr:col>
      <xdr:colOff>965811</xdr:colOff>
      <xdr:row>7</xdr:row>
      <xdr:rowOff>11505</xdr:rowOff>
    </xdr:to>
    <xdr:sp macro="" textlink="">
      <xdr:nvSpPr>
        <xdr:cNvPr id="8" name="AutoShape 317">
          <a:extLst>
            <a:ext uri="{FF2B5EF4-FFF2-40B4-BE49-F238E27FC236}">
              <a16:creationId xmlns="" xmlns:a16="http://schemas.microsoft.com/office/drawing/2014/main" id="{EA4D0416-8E37-4627-A274-F5C2C20ECFA1}"/>
            </a:ext>
          </a:extLst>
        </xdr:cNvPr>
        <xdr:cNvSpPr>
          <a:spLocks noChangeArrowheads="1"/>
        </xdr:cNvSpPr>
      </xdr:nvSpPr>
      <xdr:spPr bwMode="auto">
        <a:xfrm>
          <a:off x="12858749" y="1733550"/>
          <a:ext cx="1876425" cy="390525"/>
        </a:xfrm>
        <a:prstGeom prst="wedgeRectCallout">
          <a:avLst>
            <a:gd name="adj1" fmla="val 25002"/>
            <a:gd name="adj2" fmla="val 75640"/>
          </a:avLst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Preencha os valores nas colunas amarelas à direita.</a:t>
          </a:r>
        </a:p>
      </xdr:txBody>
    </xdr:sp>
    <xdr:clientData fPrintsWithSheet="0"/>
  </xdr:twoCellAnchor>
  <xdr:twoCellAnchor>
    <xdr:from>
      <xdr:col>1</xdr:col>
      <xdr:colOff>169545</xdr:colOff>
      <xdr:row>18</xdr:row>
      <xdr:rowOff>0</xdr:rowOff>
    </xdr:from>
    <xdr:to>
      <xdr:col>3</xdr:col>
      <xdr:colOff>133390</xdr:colOff>
      <xdr:row>24</xdr:row>
      <xdr:rowOff>104775</xdr:rowOff>
    </xdr:to>
    <xdr:sp macro="[0]!ObsGeral" textlink="">
      <xdr:nvSpPr>
        <xdr:cNvPr id="6" name="QCI.ObsButton">
          <a:extLst>
            <a:ext uri="{FF2B5EF4-FFF2-40B4-BE49-F238E27FC236}">
              <a16:creationId xmlns="" xmlns:a16="http://schemas.microsoft.com/office/drawing/2014/main" id="{1D64D7AA-F748-4FF1-9728-49F1F0ABD20D}"/>
            </a:ext>
          </a:extLst>
        </xdr:cNvPr>
        <xdr:cNvSpPr txBox="1">
          <a:spLocks noChangeArrowheads="1"/>
        </xdr:cNvSpPr>
      </xdr:nvSpPr>
      <xdr:spPr bwMode="auto">
        <a:xfrm>
          <a:off x="266700" y="5638800"/>
          <a:ext cx="1066800" cy="514350"/>
        </a:xfrm>
        <a:prstGeom prst="rect">
          <a:avLst/>
        </a:prstGeom>
        <a:solidFill>
          <a:schemeClr val="bg1">
            <a:lumMod val="6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53882" dir="2700000" algn="ctr" rotWithShape="0">
            <a:srgbClr xmlns:mc="http://schemas.openxmlformats.org/markup-compatibility/2006" xmlns:a14="http://schemas.microsoft.com/office/drawing/2010/main" val="000080" mc:Ignorable="a14" a14:legacySpreadsheetColorIndex="18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EXIBIR OBSERVAÇÕES</a:t>
          </a:r>
        </a:p>
      </xdr:txBody>
    </xdr:sp>
    <xdr:clientData fPrintsWithSheet="0"/>
  </xdr:twoCellAnchor>
  <xdr:twoCellAnchor>
    <xdr:from>
      <xdr:col>1</xdr:col>
      <xdr:colOff>129540</xdr:colOff>
      <xdr:row>0</xdr:row>
      <xdr:rowOff>0</xdr:rowOff>
    </xdr:from>
    <xdr:to>
      <xdr:col>3</xdr:col>
      <xdr:colOff>312420</xdr:colOff>
      <xdr:row>2</xdr:row>
      <xdr:rowOff>137160</xdr:rowOff>
    </xdr:to>
    <xdr:pic>
      <xdr:nvPicPr>
        <xdr:cNvPr id="2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0"/>
          <a:ext cx="130302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114300</xdr:colOff>
          <xdr:row>3</xdr:row>
          <xdr:rowOff>0</xdr:rowOff>
        </xdr:from>
        <xdr:to>
          <xdr:col>10</xdr:col>
          <xdr:colOff>7620</xdr:colOff>
          <xdr:row>3</xdr:row>
          <xdr:rowOff>1196340</xdr:rowOff>
        </xdr:to>
        <xdr:pic>
          <xdr:nvPicPr>
            <xdr:cNvPr id="24864" name="PIC1" descr="Sem título"/>
            <xdr:cNvPicPr>
              <a:picLocks noChangeAspect="1" noChangeArrowheads="1"/>
              <a:extLst>
                <a:ext uri="{84589F7E-364E-4C9E-8A38-B11213B215E9}">
                  <a14:cameraTool cellRange="DADOS!$A$21:$J$29" spid="_x0000_s24872"/>
                </a:ext>
              </a:extLst>
            </xdr:cNvPicPr>
          </xdr:nvPicPr>
          <xdr:blipFill>
            <a:blip xmlns:r="http://schemas.openxmlformats.org/officeDocument/2006/relationships" r:embed="rId1"/>
            <a:srcRect l="-21" r="62610"/>
            <a:stretch>
              <a:fillRect/>
            </a:stretch>
          </xdr:blipFill>
          <xdr:spPr bwMode="auto">
            <a:xfrm>
              <a:off x="114300" y="457200"/>
              <a:ext cx="5722620" cy="119634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7</xdr:col>
      <xdr:colOff>245745</xdr:colOff>
      <xdr:row>10</xdr:row>
      <xdr:rowOff>0</xdr:rowOff>
    </xdr:from>
    <xdr:to>
      <xdr:col>7</xdr:col>
      <xdr:colOff>1154283</xdr:colOff>
      <xdr:row>12</xdr:row>
      <xdr:rowOff>76200</xdr:rowOff>
    </xdr:to>
    <xdr:sp macro="[0]!IncluirParc" textlink="">
      <xdr:nvSpPr>
        <xdr:cNvPr id="16712" name="IncButton">
          <a:extLst>
            <a:ext uri="{FF2B5EF4-FFF2-40B4-BE49-F238E27FC236}">
              <a16:creationId xmlns="" xmlns:a16="http://schemas.microsoft.com/office/drawing/2014/main" id="{79DCB6A9-63A9-46E5-ACCB-68E15F885DB7}"/>
            </a:ext>
          </a:extLst>
        </xdr:cNvPr>
        <xdr:cNvSpPr txBox="1">
          <a:spLocks noChangeArrowheads="1"/>
        </xdr:cNvSpPr>
      </xdr:nvSpPr>
      <xdr:spPr bwMode="auto">
        <a:xfrm>
          <a:off x="1685925" y="3228975"/>
          <a:ext cx="8858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53882" dir="2700000" algn="ctr" rotWithShape="0">
            <a:srgbClr xmlns:mc="http://schemas.openxmlformats.org/markup-compatibility/2006" xmlns:a14="http://schemas.microsoft.com/office/drawing/2010/main" val="000080" mc:Ignorable="a14" a14:legacySpreadsheetColorIndex="18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INCLUIR 8 PARCELAS</a:t>
          </a:r>
        </a:p>
      </xdr:txBody>
    </xdr:sp>
    <xdr:clientData fPrintsWithSheet="0"/>
  </xdr:twoCellAnchor>
  <xdr:twoCellAnchor>
    <xdr:from>
      <xdr:col>7</xdr:col>
      <xdr:colOff>264795</xdr:colOff>
      <xdr:row>13</xdr:row>
      <xdr:rowOff>123825</xdr:rowOff>
    </xdr:from>
    <xdr:to>
      <xdr:col>7</xdr:col>
      <xdr:colOff>1135431</xdr:colOff>
      <xdr:row>16</xdr:row>
      <xdr:rowOff>47625</xdr:rowOff>
    </xdr:to>
    <xdr:sp macro="[0]!ExcluirParc" textlink="">
      <xdr:nvSpPr>
        <xdr:cNvPr id="16713" name="ExcButton">
          <a:extLst>
            <a:ext uri="{FF2B5EF4-FFF2-40B4-BE49-F238E27FC236}">
              <a16:creationId xmlns="" xmlns:a16="http://schemas.microsoft.com/office/drawing/2014/main" id="{A579A6A5-834D-4FE0-B9B6-412FF94CE36C}"/>
            </a:ext>
          </a:extLst>
        </xdr:cNvPr>
        <xdr:cNvSpPr txBox="1">
          <a:spLocks noChangeArrowheads="1"/>
        </xdr:cNvSpPr>
      </xdr:nvSpPr>
      <xdr:spPr bwMode="auto">
        <a:xfrm>
          <a:off x="1704975" y="3810000"/>
          <a:ext cx="8477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3366" mc:Ignorable="a14" a14:legacySpreadsheetColorIndex="6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53882" dir="2700000" algn="ctr" rotWithShape="0">
            <a:srgbClr xmlns:mc="http://schemas.openxmlformats.org/markup-compatibility/2006" xmlns:a14="http://schemas.microsoft.com/office/drawing/2010/main" val="000080" mc:Ignorable="a14" a14:legacySpreadsheetColorIndex="18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EXCLUIR  8 PARCELAS</a:t>
          </a:r>
        </a:p>
      </xdr:txBody>
    </xdr:sp>
    <xdr:clientData fPrintsWithSheet="0"/>
  </xdr:twoCellAnchor>
  <xdr:twoCellAnchor>
    <xdr:from>
      <xdr:col>4</xdr:col>
      <xdr:colOff>137160</xdr:colOff>
      <xdr:row>0</xdr:row>
      <xdr:rowOff>22860</xdr:rowOff>
    </xdr:from>
    <xdr:to>
      <xdr:col>6</xdr:col>
      <xdr:colOff>320040</xdr:colOff>
      <xdr:row>1</xdr:row>
      <xdr:rowOff>160020</xdr:rowOff>
    </xdr:to>
    <xdr:sp macro="" textlink="">
      <xdr:nvSpPr>
        <xdr:cNvPr id="16387" name="Object 3" hidden="1">
          <a:extLst>
            <a:ext uri="{63B3BB69-23CF-44E3-9099-C40C66FF867C}">
              <a14:compatExt xmlns:a14="http://schemas.microsoft.com/office/drawing/2010/main" spid="_x0000_s16387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312420</xdr:colOff>
      <xdr:row>3</xdr:row>
      <xdr:rowOff>1331595</xdr:rowOff>
    </xdr:from>
    <xdr:to>
      <xdr:col>7</xdr:col>
      <xdr:colOff>1929820</xdr:colOff>
      <xdr:row>7</xdr:row>
      <xdr:rowOff>9525</xdr:rowOff>
    </xdr:to>
    <xdr:sp macro="" textlink="">
      <xdr:nvSpPr>
        <xdr:cNvPr id="16714" name="BoxColuna">
          <a:extLst>
            <a:ext uri="{FF2B5EF4-FFF2-40B4-BE49-F238E27FC236}">
              <a16:creationId xmlns="" xmlns:a16="http://schemas.microsoft.com/office/drawing/2014/main" id="{272EB41E-1ECB-4577-9B50-1F982302136A}"/>
            </a:ext>
          </a:extLst>
        </xdr:cNvPr>
        <xdr:cNvSpPr txBox="1">
          <a:spLocks noChangeArrowheads="1"/>
        </xdr:cNvSpPr>
      </xdr:nvSpPr>
      <xdr:spPr bwMode="auto">
        <a:xfrm flipH="1">
          <a:off x="1752600" y="2076450"/>
          <a:ext cx="1571625" cy="657225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Informação da 1ª Coluna: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388620</xdr:colOff>
          <xdr:row>4</xdr:row>
          <xdr:rowOff>259080</xdr:rowOff>
        </xdr:from>
        <xdr:to>
          <xdr:col>7</xdr:col>
          <xdr:colOff>906780</xdr:colOff>
          <xdr:row>5</xdr:row>
          <xdr:rowOff>160020</xdr:rowOff>
        </xdr:to>
        <xdr:sp macro="" textlink="">
          <xdr:nvSpPr>
            <xdr:cNvPr id="16702" name="Option1" descr="Parcela 1" hidden="1">
              <a:extLst>
                <a:ext uri="{63B3BB69-23CF-44E3-9099-C40C66FF867C}">
                  <a14:compatExt spid="_x0000_s167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Mês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1005840</xdr:colOff>
          <xdr:row>4</xdr:row>
          <xdr:rowOff>243840</xdr:rowOff>
        </xdr:from>
        <xdr:to>
          <xdr:col>7</xdr:col>
          <xdr:colOff>1729740</xdr:colOff>
          <xdr:row>5</xdr:row>
          <xdr:rowOff>152400</xdr:rowOff>
        </xdr:to>
        <xdr:sp macro="" textlink="">
          <xdr:nvSpPr>
            <xdr:cNvPr id="16703" name="Option Button 319" hidden="1">
              <a:extLst>
                <a:ext uri="{63B3BB69-23CF-44E3-9099-C40C66FF867C}">
                  <a14:compatExt spid="_x0000_s167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Executado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30480</xdr:colOff>
          <xdr:row>3</xdr:row>
          <xdr:rowOff>0</xdr:rowOff>
        </xdr:from>
        <xdr:to>
          <xdr:col>17</xdr:col>
          <xdr:colOff>1203960</xdr:colOff>
          <xdr:row>3</xdr:row>
          <xdr:rowOff>1196340</xdr:rowOff>
        </xdr:to>
        <xdr:pic>
          <xdr:nvPicPr>
            <xdr:cNvPr id="24868" name="PIC2" descr="Sem título"/>
            <xdr:cNvPicPr>
              <a:picLocks noChangeAspect="1" noChangeArrowheads="1"/>
              <a:extLst>
                <a:ext uri="{84589F7E-364E-4C9E-8A38-B11213B215E9}">
                  <a14:cameraTool cellRange="DADOS!$A$21:$J$29" spid="_x0000_s24873"/>
                </a:ext>
              </a:extLst>
            </xdr:cNvPicPr>
          </xdr:nvPicPr>
          <xdr:blipFill>
            <a:blip xmlns:r="http://schemas.openxmlformats.org/officeDocument/2006/relationships" r:embed="rId2"/>
            <a:srcRect l="37511" r="-624"/>
            <a:stretch>
              <a:fillRect/>
            </a:stretch>
          </xdr:blipFill>
          <xdr:spPr bwMode="auto">
            <a:xfrm>
              <a:off x="5859780" y="457200"/>
              <a:ext cx="9654540" cy="119634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4</xdr:col>
      <xdr:colOff>131445</xdr:colOff>
      <xdr:row>26</xdr:row>
      <xdr:rowOff>0</xdr:rowOff>
    </xdr:from>
    <xdr:to>
      <xdr:col>7</xdr:col>
      <xdr:colOff>643867</xdr:colOff>
      <xdr:row>30</xdr:row>
      <xdr:rowOff>219075</xdr:rowOff>
    </xdr:to>
    <xdr:sp macro="[0]!ObsGeral" textlink="">
      <xdr:nvSpPr>
        <xdr:cNvPr id="10" name="CRONO.ObsButton">
          <a:extLst>
            <a:ext uri="{FF2B5EF4-FFF2-40B4-BE49-F238E27FC236}">
              <a16:creationId xmlns="" xmlns:a16="http://schemas.microsoft.com/office/drawing/2014/main" id="{07A9A039-E742-4928-8FDB-8218E89A8ED2}"/>
            </a:ext>
          </a:extLst>
        </xdr:cNvPr>
        <xdr:cNvSpPr txBox="1">
          <a:spLocks noChangeArrowheads="1"/>
        </xdr:cNvSpPr>
      </xdr:nvSpPr>
      <xdr:spPr bwMode="auto">
        <a:xfrm>
          <a:off x="123825" y="8591550"/>
          <a:ext cx="1847850" cy="333375"/>
        </a:xfrm>
        <a:prstGeom prst="rect">
          <a:avLst/>
        </a:prstGeom>
        <a:solidFill>
          <a:schemeClr val="bg1">
            <a:lumMod val="6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53882" dir="2700000" algn="ctr" rotWithShape="0">
            <a:srgbClr xmlns:mc="http://schemas.openxmlformats.org/markup-compatibility/2006" xmlns:a14="http://schemas.microsoft.com/office/drawing/2010/main" val="000080" mc:Ignorable="a14" a14:legacySpreadsheetColorIndex="18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EXIBIR OBSERVAÇÕES</a:t>
          </a:r>
        </a:p>
      </xdr:txBody>
    </xdr:sp>
    <xdr:clientData fPrintsWithSheet="0"/>
  </xdr:twoCellAnchor>
  <xdr:twoCellAnchor>
    <xdr:from>
      <xdr:col>4</xdr:col>
      <xdr:colOff>137160</xdr:colOff>
      <xdr:row>0</xdr:row>
      <xdr:rowOff>22860</xdr:rowOff>
    </xdr:from>
    <xdr:to>
      <xdr:col>6</xdr:col>
      <xdr:colOff>320040</xdr:colOff>
      <xdr:row>1</xdr:row>
      <xdr:rowOff>160020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22860"/>
          <a:ext cx="116586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83820</xdr:colOff>
          <xdr:row>3</xdr:row>
          <xdr:rowOff>152400</xdr:rowOff>
        </xdr:from>
        <xdr:to>
          <xdr:col>17</xdr:col>
          <xdr:colOff>556260</xdr:colOff>
          <xdr:row>3</xdr:row>
          <xdr:rowOff>1135380</xdr:rowOff>
        </xdr:to>
        <xdr:pic>
          <xdr:nvPicPr>
            <xdr:cNvPr id="23813" name="Picture 1" descr="Sem título"/>
            <xdr:cNvPicPr>
              <a:picLocks noChangeAspect="1" noChangeArrowheads="1"/>
              <a:extLst>
                <a:ext uri="{84589F7E-364E-4C9E-8A38-B11213B215E9}">
                  <a14:cameraTool cellRange="DADOS!$A$21:$J$29" spid="_x0000_s2381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3820" y="480060"/>
              <a:ext cx="12588240" cy="9829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99060</xdr:colOff>
      <xdr:row>0</xdr:row>
      <xdr:rowOff>0</xdr:rowOff>
    </xdr:from>
    <xdr:to>
      <xdr:col>2</xdr:col>
      <xdr:colOff>281940</xdr:colOff>
      <xdr:row>2</xdr:row>
      <xdr:rowOff>137160</xdr:rowOff>
    </xdr:to>
    <xdr:sp macro="" textlink="">
      <xdr:nvSpPr>
        <xdr:cNvPr id="4112" name="Object 16" hidden="1">
          <a:extLst>
            <a:ext uri="{63B3BB69-23CF-44E3-9099-C40C66FF867C}">
              <a14:compatExt xmlns:a14="http://schemas.microsoft.com/office/drawing/2010/main" spid="_x0000_s411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absolute">
    <xdr:from>
      <xdr:col>0</xdr:col>
      <xdr:colOff>133350</xdr:colOff>
      <xdr:row>3</xdr:row>
      <xdr:rowOff>1247775</xdr:rowOff>
    </xdr:from>
    <xdr:to>
      <xdr:col>2</xdr:col>
      <xdr:colOff>209549</xdr:colOff>
      <xdr:row>6</xdr:row>
      <xdr:rowOff>87662</xdr:rowOff>
    </xdr:to>
    <xdr:sp macro="[0]!RRE" textlink="">
      <xdr:nvSpPr>
        <xdr:cNvPr id="4114" name="RREButton">
          <a:extLst>
            <a:ext uri="{FF2B5EF4-FFF2-40B4-BE49-F238E27FC236}">
              <a16:creationId xmlns="" xmlns:a16="http://schemas.microsoft.com/office/drawing/2014/main" id="{ACD967CB-1CC4-4004-B1D6-4A25C0D36491}"/>
            </a:ext>
          </a:extLst>
        </xdr:cNvPr>
        <xdr:cNvSpPr txBox="1">
          <a:spLocks noChangeArrowheads="1"/>
        </xdr:cNvSpPr>
      </xdr:nvSpPr>
      <xdr:spPr bwMode="auto">
        <a:xfrm flipH="1">
          <a:off x="133350" y="1571625"/>
          <a:ext cx="1171574" cy="4381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53882" dir="2700000" algn="ctr" rotWithShape="0">
            <a:srgbClr xmlns:mc="http://schemas.openxmlformats.org/markup-compatibility/2006" xmlns:a14="http://schemas.microsoft.com/office/drawing/2010/main" val="000080" mc:Ignorable="a14" a14:legacySpreadsheetColorIndex="18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HABILITAR RRE CAIXA</a:t>
          </a:r>
        </a:p>
      </xdr:txBody>
    </xdr:sp>
    <xdr:clientData fPrintsWithSheet="0"/>
  </xdr:twoCellAnchor>
  <xdr:twoCellAnchor editAs="absolute">
    <xdr:from>
      <xdr:col>16</xdr:col>
      <xdr:colOff>95250</xdr:colOff>
      <xdr:row>3</xdr:row>
      <xdr:rowOff>1190625</xdr:rowOff>
    </xdr:from>
    <xdr:to>
      <xdr:col>17</xdr:col>
      <xdr:colOff>520124</xdr:colOff>
      <xdr:row>6</xdr:row>
      <xdr:rowOff>104775</xdr:rowOff>
    </xdr:to>
    <xdr:sp macro="" textlink="">
      <xdr:nvSpPr>
        <xdr:cNvPr id="21070" name="AutoShape 317">
          <a:extLst>
            <a:ext uri="{FF2B5EF4-FFF2-40B4-BE49-F238E27FC236}">
              <a16:creationId xmlns="" xmlns:a16="http://schemas.microsoft.com/office/drawing/2014/main" id="{F5597A16-94B0-4753-80FD-B48C1AA06F07}"/>
            </a:ext>
          </a:extLst>
        </xdr:cNvPr>
        <xdr:cNvSpPr>
          <a:spLocks noChangeArrowheads="1"/>
        </xdr:cNvSpPr>
      </xdr:nvSpPr>
      <xdr:spPr bwMode="auto">
        <a:xfrm>
          <a:off x="10868025" y="1514475"/>
          <a:ext cx="1457325" cy="504825"/>
        </a:xfrm>
        <a:prstGeom prst="wedgeRectCallout">
          <a:avLst>
            <a:gd name="adj1" fmla="val -19935"/>
            <a:gd name="adj2" fmla="val 76417"/>
          </a:avLst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Preencha os valores medidos nas colunas amarelas à direita.</a:t>
          </a:r>
        </a:p>
      </xdr:txBody>
    </xdr:sp>
    <xdr:clientData fPrintsWithSheet="0"/>
  </xdr:twoCellAnchor>
  <xdr:twoCellAnchor>
    <xdr:from>
      <xdr:col>19</xdr:col>
      <xdr:colOff>0</xdr:colOff>
      <xdr:row>3</xdr:row>
      <xdr:rowOff>1190626</xdr:rowOff>
    </xdr:from>
    <xdr:to>
      <xdr:col>19</xdr:col>
      <xdr:colOff>0</xdr:colOff>
      <xdr:row>6</xdr:row>
      <xdr:rowOff>0</xdr:rowOff>
    </xdr:to>
    <xdr:sp macro="[0]!CopyMed" textlink="">
      <xdr:nvSpPr>
        <xdr:cNvPr id="7" name="RREButton">
          <a:extLst>
            <a:ext uri="{FF2B5EF4-FFF2-40B4-BE49-F238E27FC236}">
              <a16:creationId xmlns="" xmlns:a16="http://schemas.microsoft.com/office/drawing/2014/main" id="{CD71B8B8-7559-493F-A7B3-A4141BAD32C1}"/>
            </a:ext>
          </a:extLst>
        </xdr:cNvPr>
        <xdr:cNvSpPr txBox="1">
          <a:spLocks noChangeArrowheads="1"/>
        </xdr:cNvSpPr>
      </xdr:nvSpPr>
      <xdr:spPr bwMode="auto">
        <a:xfrm flipH="1">
          <a:off x="13763625" y="1524001"/>
          <a:ext cx="857250" cy="390524"/>
        </a:xfrm>
        <a:prstGeom prst="rect">
          <a:avLst/>
        </a:prstGeom>
        <a:solidFill>
          <a:srgbClr val="FFC0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53882" dir="2700000" algn="ctr" rotWithShape="0">
            <a:srgbClr xmlns:mc="http://schemas.openxmlformats.org/markup-compatibility/2006" xmlns:a14="http://schemas.microsoft.com/office/drawing/2010/main" val="000080" mc:Ignorable="a14" a14:legacySpreadsheetColorIndex="18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COPIAR DA MEDIÇÃO</a:t>
          </a:r>
        </a:p>
      </xdr:txBody>
    </xdr:sp>
    <xdr:clientData fPrintsWithSheet="0"/>
  </xdr:twoCellAnchor>
  <xdr:twoCellAnchor>
    <xdr:from>
      <xdr:col>0</xdr:col>
      <xdr:colOff>57150</xdr:colOff>
      <xdr:row>23</xdr:row>
      <xdr:rowOff>104775</xdr:rowOff>
    </xdr:from>
    <xdr:to>
      <xdr:col>3</xdr:col>
      <xdr:colOff>443911</xdr:colOff>
      <xdr:row>23</xdr:row>
      <xdr:rowOff>316296</xdr:rowOff>
    </xdr:to>
    <xdr:sp macro="[0]!ObsGeral" textlink="">
      <xdr:nvSpPr>
        <xdr:cNvPr id="8" name="RRE.ObsButton">
          <a:extLst>
            <a:ext uri="{FF2B5EF4-FFF2-40B4-BE49-F238E27FC236}">
              <a16:creationId xmlns="" xmlns:a16="http://schemas.microsoft.com/office/drawing/2014/main" id="{558E5D01-D34E-4CD5-91B7-F7CDAE72209F}"/>
            </a:ext>
          </a:extLst>
        </xdr:cNvPr>
        <xdr:cNvSpPr txBox="1">
          <a:spLocks noChangeArrowheads="1"/>
        </xdr:cNvSpPr>
      </xdr:nvSpPr>
      <xdr:spPr bwMode="auto">
        <a:xfrm>
          <a:off x="57150" y="6210300"/>
          <a:ext cx="1847850" cy="219075"/>
        </a:xfrm>
        <a:prstGeom prst="rect">
          <a:avLst/>
        </a:prstGeom>
        <a:solidFill>
          <a:schemeClr val="bg1">
            <a:lumMod val="6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53882" dir="2700000" algn="ctr" rotWithShape="0">
            <a:srgbClr xmlns:mc="http://schemas.openxmlformats.org/markup-compatibility/2006" xmlns:a14="http://schemas.microsoft.com/office/drawing/2010/main" val="000080" mc:Ignorable="a14" a14:legacySpreadsheetColorIndex="18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EXIBIR OBSERVAÇÕES</a:t>
          </a:r>
        </a:p>
      </xdr:txBody>
    </xdr:sp>
    <xdr:clientData fPrintsWithSheet="0"/>
  </xdr:twoCellAnchor>
  <xdr:twoCellAnchor>
    <xdr:from>
      <xdr:col>0</xdr:col>
      <xdr:colOff>99060</xdr:colOff>
      <xdr:row>0</xdr:row>
      <xdr:rowOff>0</xdr:rowOff>
    </xdr:from>
    <xdr:to>
      <xdr:col>2</xdr:col>
      <xdr:colOff>281940</xdr:colOff>
      <xdr:row>2</xdr:row>
      <xdr:rowOff>137160</xdr:rowOff>
    </xdr:to>
    <xdr:pic>
      <xdr:nvPicPr>
        <xdr:cNvPr id="2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0"/>
          <a:ext cx="130302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206401</xdr:colOff>
      <xdr:row>1</xdr:row>
      <xdr:rowOff>40751</xdr:rowOff>
    </xdr:from>
    <xdr:to>
      <xdr:col>2</xdr:col>
      <xdr:colOff>1008529</xdr:colOff>
      <xdr:row>2</xdr:row>
      <xdr:rowOff>220435</xdr:rowOff>
    </xdr:to>
    <xdr:sp macro="[0]!Plan4.Insere" textlink="">
      <xdr:nvSpPr>
        <xdr:cNvPr id="2" name="Retângulo 1">
          <a:extLst>
            <a:ext uri="{FF2B5EF4-FFF2-40B4-BE49-F238E27FC236}">
              <a16:creationId xmlns="" xmlns:a16="http://schemas.microsoft.com/office/drawing/2014/main" id="{D42DD21C-7DC8-48FE-9261-DD5F0F4BBD87}"/>
            </a:ext>
          </a:extLst>
        </xdr:cNvPr>
        <xdr:cNvSpPr/>
      </xdr:nvSpPr>
      <xdr:spPr>
        <a:xfrm>
          <a:off x="1697933" y="198783"/>
          <a:ext cx="786849" cy="352843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800">
              <a:solidFill>
                <a:sysClr val="windowText" lastClr="000000"/>
              </a:solidFill>
            </a:rPr>
            <a:t>Inserir Brasão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K87"/>
  <sheetViews>
    <sheetView showGridLines="0" view="pageBreakPreview" topLeftCell="B16" zoomScaleNormal="90" zoomScaleSheetLayoutView="100" zoomScalePageLayoutView="60" workbookViewId="0">
      <selection activeCell="I35" sqref="I35"/>
    </sheetView>
  </sheetViews>
  <sheetFormatPr defaultRowHeight="13.2" x14ac:dyDescent="0.25"/>
  <cols>
    <col min="1" max="1" width="16.6640625" style="11" customWidth="1"/>
    <col min="2" max="2" width="16.6640625" customWidth="1"/>
    <col min="3" max="3" width="22.6640625" customWidth="1"/>
    <col min="4" max="4" width="15.6640625" style="1" customWidth="1"/>
    <col min="5" max="5" width="40.6640625" customWidth="1"/>
    <col min="6" max="6" width="20.6640625" customWidth="1"/>
    <col min="7" max="7" width="45.6640625" customWidth="1"/>
    <col min="8" max="10" width="16.6640625" customWidth="1"/>
  </cols>
  <sheetData>
    <row r="1" spans="1:11" ht="12.75" customHeight="1" x14ac:dyDescent="0.25">
      <c r="A1" s="77">
        <v>41211</v>
      </c>
      <c r="B1" s="356" t="s">
        <v>131</v>
      </c>
      <c r="C1" s="356"/>
      <c r="D1" s="356"/>
      <c r="E1" s="356"/>
      <c r="F1" s="356"/>
      <c r="G1" s="356"/>
      <c r="H1" s="356"/>
      <c r="I1" s="356"/>
      <c r="J1" s="357"/>
      <c r="K1" s="2"/>
    </row>
    <row r="2" spans="1:11" ht="13.5" customHeight="1" x14ac:dyDescent="0.25">
      <c r="A2" s="235" t="s">
        <v>225</v>
      </c>
      <c r="B2" s="358"/>
      <c r="C2" s="358"/>
      <c r="D2" s="358"/>
      <c r="E2" s="358"/>
      <c r="F2" s="358"/>
      <c r="G2" s="358"/>
      <c r="H2" s="358"/>
      <c r="I2" s="358"/>
      <c r="J2" s="359"/>
      <c r="K2" s="2"/>
    </row>
    <row r="3" spans="1:11" ht="12.75" customHeight="1" x14ac:dyDescent="0.25">
      <c r="A3" s="362" t="s">
        <v>132</v>
      </c>
      <c r="B3" s="363"/>
      <c r="C3" s="363"/>
      <c r="D3" s="363"/>
      <c r="E3" s="363"/>
      <c r="F3" s="363"/>
      <c r="G3" s="363"/>
      <c r="H3" s="363"/>
      <c r="I3" s="363"/>
      <c r="J3" s="363"/>
      <c r="K3" s="2"/>
    </row>
    <row r="4" spans="1:11" x14ac:dyDescent="0.25">
      <c r="A4" s="25"/>
      <c r="B4" s="27"/>
      <c r="C4" s="27"/>
      <c r="D4" s="22"/>
      <c r="E4" s="27"/>
      <c r="F4" s="27"/>
      <c r="G4" s="27"/>
      <c r="H4" s="27"/>
      <c r="I4" s="27"/>
      <c r="J4" s="27"/>
      <c r="K4" s="2"/>
    </row>
    <row r="5" spans="1:11" s="11" customFormat="1" ht="24.9" customHeight="1" x14ac:dyDescent="0.25">
      <c r="A5" s="367" t="s">
        <v>214</v>
      </c>
      <c r="B5" s="361"/>
      <c r="C5" s="361"/>
      <c r="D5" s="361"/>
      <c r="E5" s="361"/>
      <c r="F5" s="361"/>
      <c r="G5" s="361"/>
      <c r="H5" s="361"/>
      <c r="I5" s="361"/>
      <c r="J5" s="361"/>
      <c r="K5" s="24"/>
    </row>
    <row r="6" spans="1:11" ht="12.75" customHeight="1" x14ac:dyDescent="0.25">
      <c r="A6" s="25"/>
      <c r="B6" s="156"/>
      <c r="C6" s="156"/>
      <c r="D6" s="22"/>
      <c r="E6" s="156"/>
      <c r="F6" s="156"/>
      <c r="G6" s="156"/>
      <c r="H6" s="156"/>
      <c r="I6" s="156"/>
      <c r="J6" s="156"/>
      <c r="K6" s="2"/>
    </row>
    <row r="7" spans="1:11" ht="12.75" customHeight="1" x14ac:dyDescent="0.25">
      <c r="A7" s="368" t="s">
        <v>133</v>
      </c>
      <c r="B7" s="368"/>
      <c r="C7" s="368"/>
      <c r="D7" s="368"/>
      <c r="E7" s="368"/>
      <c r="F7" s="368"/>
      <c r="G7" s="368"/>
      <c r="H7" s="368"/>
      <c r="I7" s="368"/>
      <c r="J7" s="368"/>
      <c r="K7" s="2"/>
    </row>
    <row r="8" spans="1:11" ht="12.75" customHeight="1" x14ac:dyDescent="0.25">
      <c r="A8" s="158" t="s">
        <v>148</v>
      </c>
      <c r="B8" s="159"/>
      <c r="C8" s="158"/>
      <c r="D8" s="158"/>
      <c r="E8" s="158"/>
      <c r="F8" s="158"/>
      <c r="G8" s="158"/>
      <c r="H8" s="158"/>
      <c r="I8" s="157"/>
      <c r="J8" s="157"/>
      <c r="K8" s="2"/>
    </row>
    <row r="9" spans="1:11" ht="24.9" customHeight="1" x14ac:dyDescent="0.25">
      <c r="A9" s="364" t="s">
        <v>149</v>
      </c>
      <c r="B9" s="364"/>
      <c r="C9" s="364"/>
      <c r="D9" s="364"/>
      <c r="E9" s="364"/>
      <c r="F9" s="364"/>
      <c r="G9" s="310"/>
      <c r="H9" s="310"/>
      <c r="I9" s="157"/>
      <c r="J9" s="157"/>
      <c r="K9" s="2"/>
    </row>
    <row r="10" spans="1:11" x14ac:dyDescent="0.25">
      <c r="A10" s="25"/>
      <c r="B10" s="27"/>
      <c r="C10" s="27"/>
      <c r="D10" s="22"/>
      <c r="E10" s="27"/>
      <c r="F10" s="27"/>
      <c r="G10" s="27"/>
      <c r="H10" s="27"/>
      <c r="I10" s="27"/>
      <c r="J10" s="27"/>
      <c r="K10" s="2"/>
    </row>
    <row r="11" spans="1:11" x14ac:dyDescent="0.25">
      <c r="A11" s="360" t="s">
        <v>150</v>
      </c>
      <c r="B11" s="361"/>
      <c r="C11" s="361"/>
      <c r="D11" s="361"/>
      <c r="E11" s="361"/>
      <c r="F11" s="361"/>
      <c r="G11" s="361"/>
      <c r="H11" s="361"/>
      <c r="I11" s="361"/>
      <c r="J11" s="361"/>
      <c r="K11" s="2"/>
    </row>
    <row r="12" spans="1:11" x14ac:dyDescent="0.25">
      <c r="A12" s="25"/>
      <c r="B12" s="27"/>
      <c r="C12" s="27"/>
      <c r="D12" s="22"/>
      <c r="E12" s="27"/>
      <c r="F12" s="27"/>
      <c r="G12" s="27"/>
      <c r="H12" s="27"/>
      <c r="I12" s="27"/>
      <c r="J12" s="27"/>
      <c r="K12" s="2"/>
    </row>
    <row r="13" spans="1:11" x14ac:dyDescent="0.25">
      <c r="A13" s="360" t="s">
        <v>134</v>
      </c>
      <c r="B13" s="361"/>
      <c r="C13" s="361"/>
      <c r="D13" s="361"/>
      <c r="E13" s="361"/>
      <c r="F13" s="361"/>
      <c r="G13" s="361"/>
      <c r="H13" s="361"/>
      <c r="I13" s="361"/>
      <c r="J13" s="361"/>
      <c r="K13" s="2"/>
    </row>
    <row r="14" spans="1:11" ht="12.75" customHeight="1" x14ac:dyDescent="0.25">
      <c r="A14" s="158" t="s">
        <v>135</v>
      </c>
      <c r="C14" s="155"/>
      <c r="D14" s="155"/>
      <c r="E14" s="155"/>
      <c r="F14" s="155"/>
      <c r="G14" s="155"/>
      <c r="H14" s="155"/>
      <c r="I14" s="155"/>
      <c r="J14" s="155"/>
      <c r="K14" s="2"/>
    </row>
    <row r="15" spans="1:11" ht="12.75" customHeight="1" x14ac:dyDescent="0.25">
      <c r="A15" s="160" t="s">
        <v>153</v>
      </c>
      <c r="B15" s="27"/>
      <c r="C15" s="27"/>
      <c r="E15" s="155"/>
      <c r="F15" s="155"/>
      <c r="G15" s="155"/>
      <c r="H15" s="155"/>
      <c r="I15" s="155"/>
      <c r="J15" s="155"/>
      <c r="K15" s="2"/>
    </row>
    <row r="16" spans="1:11" x14ac:dyDescent="0.25">
      <c r="A16" s="26"/>
      <c r="B16" s="2"/>
      <c r="C16" s="2"/>
      <c r="D16" s="23"/>
      <c r="E16" s="2"/>
      <c r="F16" s="2"/>
      <c r="G16" s="2"/>
      <c r="H16" s="2"/>
      <c r="I16" s="2"/>
      <c r="J16" s="2"/>
      <c r="K16" s="2"/>
    </row>
    <row r="17" spans="1:11" x14ac:dyDescent="0.25">
      <c r="A17" s="26"/>
      <c r="B17" s="2"/>
      <c r="C17" s="2"/>
      <c r="D17" s="23"/>
      <c r="E17" s="2"/>
      <c r="F17" s="2"/>
      <c r="G17" s="2"/>
      <c r="H17" s="2"/>
      <c r="J17" s="311"/>
      <c r="K17" s="2"/>
    </row>
    <row r="18" spans="1:11" x14ac:dyDescent="0.25">
      <c r="A18" s="26"/>
      <c r="B18" s="2"/>
      <c r="C18" s="2"/>
      <c r="D18" s="23"/>
      <c r="E18" s="2"/>
      <c r="F18" s="2"/>
      <c r="G18" s="2"/>
      <c r="H18" s="2"/>
      <c r="J18" s="311"/>
      <c r="K18" s="2"/>
    </row>
    <row r="19" spans="1:11" x14ac:dyDescent="0.25">
      <c r="A19" s="26"/>
      <c r="B19" s="2"/>
      <c r="C19" s="2"/>
      <c r="D19" s="23"/>
      <c r="E19" s="2"/>
      <c r="F19" s="2"/>
      <c r="G19" s="2"/>
      <c r="H19" s="2"/>
      <c r="I19" s="2"/>
      <c r="J19" s="2"/>
      <c r="K19" s="2"/>
    </row>
    <row r="20" spans="1:11" x14ac:dyDescent="0.25">
      <c r="A20" s="26"/>
      <c r="B20" s="2"/>
      <c r="C20" s="2"/>
      <c r="D20" s="23"/>
      <c r="E20" s="2"/>
      <c r="F20" s="2"/>
      <c r="G20" s="2"/>
      <c r="H20" s="2"/>
      <c r="I20" s="2"/>
      <c r="J20" s="2"/>
      <c r="K20" s="2"/>
    </row>
    <row r="21" spans="1:11" ht="12.75" customHeight="1" x14ac:dyDescent="0.25">
      <c r="A21" s="49" t="s">
        <v>208</v>
      </c>
      <c r="B21" s="49" t="s">
        <v>221</v>
      </c>
      <c r="C21" s="371" t="s">
        <v>90</v>
      </c>
      <c r="D21" s="372"/>
      <c r="E21" s="371" t="s">
        <v>91</v>
      </c>
      <c r="F21" s="372"/>
      <c r="G21" s="371" t="s">
        <v>92</v>
      </c>
      <c r="H21" s="373"/>
      <c r="I21" s="372"/>
      <c r="J21" s="49" t="s">
        <v>168</v>
      </c>
      <c r="K21" s="2"/>
    </row>
    <row r="22" spans="1:11" ht="12.75" customHeight="1" x14ac:dyDescent="0.25">
      <c r="A22" s="295" t="s">
        <v>238</v>
      </c>
      <c r="B22" s="241"/>
      <c r="C22" s="369" t="s">
        <v>230</v>
      </c>
      <c r="D22" s="370"/>
      <c r="E22" s="365"/>
      <c r="F22" s="366"/>
      <c r="G22" s="365" t="s">
        <v>240</v>
      </c>
      <c r="H22" s="374"/>
      <c r="I22" s="366"/>
      <c r="J22" s="325" t="s">
        <v>235</v>
      </c>
      <c r="K22" s="2"/>
    </row>
    <row r="23" spans="1:11" ht="6" customHeight="1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</row>
    <row r="24" spans="1:11" x14ac:dyDescent="0.25">
      <c r="A24" s="377" t="s">
        <v>93</v>
      </c>
      <c r="B24" s="377"/>
      <c r="C24" s="377"/>
      <c r="D24" s="377"/>
      <c r="E24" s="49" t="s">
        <v>105</v>
      </c>
      <c r="F24" s="371" t="s">
        <v>95</v>
      </c>
      <c r="G24" s="372"/>
      <c r="H24" s="37"/>
      <c r="I24" s="35"/>
      <c r="J24" s="312"/>
      <c r="K24" s="2"/>
    </row>
    <row r="25" spans="1:11" x14ac:dyDescent="0.25">
      <c r="A25" s="378" t="s">
        <v>231</v>
      </c>
      <c r="B25" s="379"/>
      <c r="C25" s="379"/>
      <c r="D25" s="379"/>
      <c r="E25" s="241" t="s">
        <v>232</v>
      </c>
      <c r="F25" s="369" t="s">
        <v>233</v>
      </c>
      <c r="G25" s="370"/>
      <c r="H25" s="380" t="s">
        <v>226</v>
      </c>
      <c r="I25" s="380"/>
      <c r="J25" s="381"/>
      <c r="K25" s="2"/>
    </row>
    <row r="26" spans="1:11" ht="6" customHeight="1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12"/>
    </row>
    <row r="27" spans="1:11" ht="12.75" customHeight="1" x14ac:dyDescent="0.25">
      <c r="A27" s="377" t="s">
        <v>94</v>
      </c>
      <c r="B27" s="377"/>
      <c r="C27" s="377"/>
      <c r="D27" s="377"/>
      <c r="E27" s="377"/>
      <c r="F27" s="371" t="s">
        <v>96</v>
      </c>
      <c r="G27" s="372"/>
      <c r="H27" s="162" t="str">
        <f>IF($J$22="FGTS","FINANCIAMENTO","REPASSE")</f>
        <v>REPASSE</v>
      </c>
      <c r="I27" s="162" t="s">
        <v>216</v>
      </c>
      <c r="J27" s="162" t="s">
        <v>217</v>
      </c>
      <c r="K27" s="2"/>
    </row>
    <row r="28" spans="1:11" x14ac:dyDescent="0.25">
      <c r="A28" s="375" t="s">
        <v>239</v>
      </c>
      <c r="B28" s="376"/>
      <c r="C28" s="376"/>
      <c r="D28" s="376"/>
      <c r="E28" s="376"/>
      <c r="F28" s="369" t="s">
        <v>234</v>
      </c>
      <c r="G28" s="370"/>
      <c r="H28" s="313">
        <v>668500</v>
      </c>
      <c r="I28" s="313">
        <v>333429.02</v>
      </c>
      <c r="J28" s="314">
        <f>H28+I28</f>
        <v>1001929.02</v>
      </c>
      <c r="K28" s="2"/>
    </row>
    <row r="29" spans="1:11" ht="6" customHeight="1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196"/>
    </row>
    <row r="30" spans="1:11" x14ac:dyDescent="0.25">
      <c r="A30" s="24"/>
      <c r="B30" s="2"/>
      <c r="C30" s="2"/>
      <c r="D30" s="23"/>
      <c r="E30" s="2"/>
      <c r="F30" s="2"/>
      <c r="G30" s="2"/>
      <c r="H30" s="2"/>
      <c r="I30" s="2"/>
      <c r="J30" s="2"/>
      <c r="K30" s="2"/>
    </row>
    <row r="31" spans="1:11" x14ac:dyDescent="0.25">
      <c r="A31" s="24"/>
      <c r="B31" s="2"/>
      <c r="C31" s="2"/>
      <c r="D31" s="23"/>
      <c r="E31" s="2"/>
      <c r="F31" s="2"/>
      <c r="G31" s="2"/>
      <c r="H31" s="2"/>
      <c r="I31" s="2"/>
      <c r="J31" s="2"/>
      <c r="K31" s="2"/>
    </row>
    <row r="32" spans="1:11" x14ac:dyDescent="0.25">
      <c r="A32" s="24"/>
      <c r="B32" s="2"/>
      <c r="C32" s="2"/>
      <c r="D32" s="23"/>
      <c r="E32" s="2"/>
      <c r="F32" s="2"/>
      <c r="G32" s="2"/>
      <c r="H32" s="2"/>
      <c r="I32" s="2"/>
      <c r="J32" s="2"/>
      <c r="K32" s="2"/>
    </row>
    <row r="33" spans="1:11" x14ac:dyDescent="0.25">
      <c r="A33" s="24"/>
      <c r="B33" s="2"/>
      <c r="C33" s="2"/>
      <c r="D33" s="23"/>
      <c r="E33" s="2"/>
      <c r="F33" s="2"/>
      <c r="G33" s="2"/>
      <c r="H33" s="2"/>
      <c r="I33" s="2"/>
      <c r="J33" s="2"/>
      <c r="K33" s="2"/>
    </row>
    <row r="34" spans="1:11" x14ac:dyDescent="0.25">
      <c r="A34" s="160" t="s">
        <v>182</v>
      </c>
      <c r="B34" s="2"/>
      <c r="C34" s="2"/>
      <c r="D34" s="23"/>
      <c r="E34" s="2"/>
      <c r="F34" s="2"/>
      <c r="G34" s="2"/>
      <c r="H34" s="2"/>
      <c r="I34" s="2"/>
      <c r="J34" s="2"/>
      <c r="K34" s="2"/>
    </row>
    <row r="35" spans="1:11" x14ac:dyDescent="0.25">
      <c r="A35" s="24"/>
      <c r="B35" s="2"/>
      <c r="C35" s="2"/>
      <c r="D35" s="23"/>
      <c r="E35" s="2"/>
      <c r="F35" s="2"/>
      <c r="G35" s="2"/>
      <c r="H35" s="2"/>
      <c r="I35" s="2"/>
      <c r="J35" s="2"/>
      <c r="K35" s="2"/>
    </row>
    <row r="36" spans="1:11" x14ac:dyDescent="0.25">
      <c r="A36" s="24"/>
      <c r="B36" s="49" t="s">
        <v>187</v>
      </c>
      <c r="C36" s="49" t="s">
        <v>183</v>
      </c>
      <c r="E36" s="2"/>
      <c r="F36" s="2"/>
      <c r="G36" s="2"/>
      <c r="H36" s="2"/>
      <c r="I36" s="2"/>
      <c r="J36" s="2"/>
      <c r="K36" s="2"/>
    </row>
    <row r="37" spans="1:11" x14ac:dyDescent="0.25">
      <c r="A37" s="24"/>
      <c r="B37" s="79"/>
      <c r="C37" s="36">
        <v>333429.02</v>
      </c>
      <c r="E37" s="2"/>
      <c r="F37" s="2"/>
      <c r="G37" s="2"/>
      <c r="H37" s="2"/>
      <c r="I37" s="2"/>
      <c r="J37" s="2"/>
      <c r="K37" s="2"/>
    </row>
    <row r="38" spans="1:11" x14ac:dyDescent="0.25">
      <c r="A38" s="24"/>
      <c r="B38" s="24"/>
      <c r="E38" s="2"/>
      <c r="F38" s="2"/>
      <c r="G38" s="2"/>
      <c r="H38" s="2"/>
      <c r="I38" s="2"/>
      <c r="J38" s="2"/>
      <c r="K38" s="2"/>
    </row>
    <row r="39" spans="1:11" x14ac:dyDescent="0.25">
      <c r="A39" s="24"/>
      <c r="B39" s="2"/>
      <c r="E39" s="2"/>
      <c r="F39" s="2"/>
      <c r="G39" s="2"/>
      <c r="H39" s="2"/>
      <c r="I39" s="2"/>
      <c r="J39" s="2"/>
      <c r="K39" s="2"/>
    </row>
    <row r="40" spans="1:11" x14ac:dyDescent="0.25">
      <c r="A40" s="160" t="s">
        <v>184</v>
      </c>
      <c r="B40" s="2"/>
      <c r="C40" s="2"/>
      <c r="D40" s="23"/>
      <c r="E40" s="2"/>
      <c r="F40" s="2"/>
      <c r="G40" s="2"/>
      <c r="H40" s="2"/>
      <c r="I40" s="2"/>
      <c r="J40" s="2"/>
      <c r="K40" s="2"/>
    </row>
    <row r="41" spans="1:11" x14ac:dyDescent="0.25">
      <c r="A41" s="24"/>
      <c r="B41" s="2"/>
      <c r="C41" s="2"/>
      <c r="D41" s="23"/>
      <c r="E41" s="2"/>
      <c r="F41" s="2"/>
      <c r="G41" s="2"/>
      <c r="H41" s="2"/>
      <c r="I41" s="2"/>
      <c r="J41" s="2"/>
      <c r="K41" s="2"/>
    </row>
    <row r="42" spans="1:11" x14ac:dyDescent="0.25">
      <c r="A42" s="24"/>
      <c r="B42" s="2"/>
      <c r="C42" s="2"/>
      <c r="D42" s="23"/>
      <c r="E42" s="2"/>
      <c r="F42" s="2"/>
      <c r="G42" s="2"/>
      <c r="H42" s="2"/>
      <c r="I42" s="2"/>
      <c r="J42" s="2"/>
      <c r="K42" s="2"/>
    </row>
    <row r="43" spans="1:11" x14ac:dyDescent="0.25">
      <c r="A43" s="24"/>
      <c r="B43" s="2"/>
      <c r="C43" s="2"/>
      <c r="D43" s="23"/>
      <c r="E43" s="2"/>
      <c r="F43" s="2"/>
      <c r="G43" s="2"/>
      <c r="H43" s="2"/>
      <c r="I43" s="2"/>
      <c r="J43" s="2"/>
      <c r="K43" s="2"/>
    </row>
    <row r="44" spans="1:11" x14ac:dyDescent="0.25">
      <c r="A44" s="24"/>
      <c r="B44" s="2"/>
      <c r="C44" s="2"/>
      <c r="D44" s="23"/>
      <c r="E44" s="2"/>
      <c r="F44" s="2"/>
      <c r="G44" s="2"/>
      <c r="H44" s="2"/>
      <c r="I44" s="2"/>
      <c r="J44" s="2"/>
      <c r="K44" s="2"/>
    </row>
    <row r="45" spans="1:11" x14ac:dyDescent="0.25">
      <c r="A45" s="24"/>
      <c r="B45" s="2"/>
      <c r="C45" s="2"/>
      <c r="D45" s="23"/>
      <c r="E45" s="2"/>
      <c r="F45" s="2"/>
      <c r="G45" s="2"/>
      <c r="H45" s="2"/>
      <c r="I45" s="2"/>
      <c r="J45" s="2"/>
      <c r="K45" s="2"/>
    </row>
    <row r="46" spans="1:11" ht="12.75" customHeight="1" x14ac:dyDescent="0.25">
      <c r="A46" s="160"/>
      <c r="B46" s="27"/>
      <c r="C46" s="27"/>
      <c r="E46" s="155"/>
      <c r="F46" s="155"/>
      <c r="G46" s="155"/>
      <c r="H46" s="155"/>
      <c r="I46" s="155"/>
      <c r="J46" s="155"/>
      <c r="K46" s="2"/>
    </row>
    <row r="47" spans="1:11" ht="12.75" customHeight="1" x14ac:dyDescent="0.25">
      <c r="A47" s="160" t="s">
        <v>185</v>
      </c>
      <c r="B47" s="27"/>
      <c r="C47" s="27"/>
      <c r="E47" s="155"/>
      <c r="F47" s="155"/>
      <c r="G47" s="155"/>
      <c r="H47" s="155"/>
      <c r="I47" s="155"/>
      <c r="J47" s="155"/>
      <c r="K47" s="2"/>
    </row>
    <row r="48" spans="1:11" ht="12.75" customHeight="1" x14ac:dyDescent="0.25">
      <c r="A48" s="160" t="s">
        <v>186</v>
      </c>
      <c r="B48" s="27"/>
      <c r="C48" s="27"/>
      <c r="E48" s="155"/>
      <c r="F48" s="155"/>
      <c r="G48" s="155"/>
      <c r="H48" s="155"/>
      <c r="I48" s="155"/>
      <c r="J48" s="155"/>
      <c r="K48" s="2"/>
    </row>
    <row r="49" spans="1:11" x14ac:dyDescent="0.25">
      <c r="A49" s="24"/>
      <c r="B49" s="27"/>
      <c r="C49" s="27"/>
      <c r="D49" s="22"/>
      <c r="E49" s="27"/>
      <c r="F49" s="27"/>
      <c r="G49" s="27"/>
      <c r="H49" s="27"/>
      <c r="I49" s="27"/>
      <c r="J49" s="27"/>
      <c r="K49" s="2"/>
    </row>
    <row r="50" spans="1:11" ht="12.75" customHeight="1" x14ac:dyDescent="0.25">
      <c r="A50" s="158" t="s">
        <v>136</v>
      </c>
      <c r="C50" s="155"/>
      <c r="D50" s="155"/>
      <c r="E50" s="155"/>
      <c r="F50" s="155"/>
      <c r="G50" s="155"/>
      <c r="H50" s="155"/>
      <c r="I50" s="155"/>
      <c r="J50" s="155"/>
      <c r="K50" s="2"/>
    </row>
    <row r="51" spans="1:11" ht="12.75" customHeight="1" x14ac:dyDescent="0.25">
      <c r="A51" s="160" t="s">
        <v>137</v>
      </c>
      <c r="C51" s="27"/>
      <c r="E51" s="155"/>
      <c r="F51" s="155"/>
      <c r="G51" s="155"/>
      <c r="H51" s="155"/>
      <c r="I51" s="155"/>
      <c r="J51" s="155"/>
      <c r="K51" s="2"/>
    </row>
    <row r="52" spans="1:11" ht="12.75" customHeight="1" x14ac:dyDescent="0.25">
      <c r="A52" s="339" t="s">
        <v>229</v>
      </c>
      <c r="C52" s="27"/>
      <c r="E52" s="155"/>
      <c r="F52" s="155"/>
      <c r="G52" s="155"/>
      <c r="H52" s="155"/>
      <c r="I52" s="155"/>
      <c r="J52" s="155"/>
      <c r="K52" s="2"/>
    </row>
    <row r="53" spans="1:11" ht="12.75" customHeight="1" x14ac:dyDescent="0.25">
      <c r="A53" s="160"/>
      <c r="C53" s="27"/>
      <c r="E53" s="155"/>
      <c r="F53" s="155"/>
      <c r="G53" s="155"/>
      <c r="H53" s="155"/>
      <c r="I53" s="155"/>
      <c r="J53" s="155"/>
      <c r="K53" s="2"/>
    </row>
    <row r="54" spans="1:11" x14ac:dyDescent="0.25">
      <c r="A54" s="156"/>
      <c r="B54" s="354" t="s">
        <v>128</v>
      </c>
      <c r="C54" s="382" t="s">
        <v>125</v>
      </c>
      <c r="D54" s="382"/>
      <c r="E54" s="382"/>
      <c r="F54" s="355" t="s">
        <v>204</v>
      </c>
      <c r="G54" s="27"/>
      <c r="H54" s="27"/>
      <c r="I54" s="27"/>
      <c r="J54" s="27"/>
      <c r="K54" s="2"/>
    </row>
    <row r="55" spans="1:11" hidden="1" x14ac:dyDescent="0.25">
      <c r="A55" s="156"/>
      <c r="B55" s="344" t="s">
        <v>102</v>
      </c>
      <c r="C55" s="45"/>
      <c r="D55" s="45"/>
      <c r="E55" s="45"/>
      <c r="F55" s="343"/>
      <c r="G55" s="27"/>
      <c r="H55" s="27"/>
      <c r="I55" s="27"/>
      <c r="J55" s="27"/>
      <c r="K55" s="2"/>
    </row>
    <row r="56" spans="1:11" x14ac:dyDescent="0.25">
      <c r="A56" s="156"/>
      <c r="B56" s="345"/>
      <c r="C56" s="383"/>
      <c r="D56" s="384"/>
      <c r="E56" s="384"/>
      <c r="F56" s="340"/>
      <c r="G56" s="27"/>
      <c r="H56" s="27"/>
      <c r="I56" s="27"/>
      <c r="J56" s="27"/>
      <c r="K56" s="2"/>
    </row>
    <row r="57" spans="1:11" x14ac:dyDescent="0.25">
      <c r="A57" s="156"/>
      <c r="B57" s="347"/>
      <c r="C57" s="385"/>
      <c r="D57" s="385"/>
      <c r="E57" s="385"/>
      <c r="F57" s="341"/>
      <c r="G57" s="27"/>
      <c r="H57" s="27"/>
      <c r="I57" s="27"/>
      <c r="J57" s="27"/>
      <c r="K57" s="2"/>
    </row>
    <row r="58" spans="1:11" x14ac:dyDescent="0.25">
      <c r="A58" s="156"/>
      <c r="B58" s="347"/>
      <c r="C58" s="386"/>
      <c r="D58" s="385"/>
      <c r="E58" s="385"/>
      <c r="F58" s="341"/>
      <c r="G58" s="27"/>
      <c r="H58" s="27"/>
      <c r="I58" s="27"/>
      <c r="J58" s="27"/>
      <c r="K58" s="2"/>
    </row>
    <row r="59" spans="1:11" x14ac:dyDescent="0.25">
      <c r="A59" s="156"/>
      <c r="B59" s="347"/>
      <c r="C59" s="385"/>
      <c r="D59" s="385"/>
      <c r="E59" s="385"/>
      <c r="F59" s="341"/>
      <c r="G59" s="27"/>
      <c r="H59" s="27"/>
      <c r="I59" s="27"/>
      <c r="J59" s="27"/>
      <c r="K59" s="2"/>
    </row>
    <row r="60" spans="1:11" x14ac:dyDescent="0.25">
      <c r="A60" s="156"/>
      <c r="B60" s="347"/>
      <c r="C60" s="385"/>
      <c r="D60" s="385"/>
      <c r="E60" s="385"/>
      <c r="F60" s="341"/>
      <c r="G60" s="27"/>
      <c r="H60" s="27"/>
      <c r="I60" s="27"/>
      <c r="J60" s="27"/>
      <c r="K60" s="2"/>
    </row>
    <row r="61" spans="1:11" x14ac:dyDescent="0.25">
      <c r="A61" s="156"/>
      <c r="B61" s="347"/>
      <c r="C61" s="385"/>
      <c r="D61" s="385"/>
      <c r="E61" s="385"/>
      <c r="F61" s="341"/>
      <c r="G61" s="27"/>
      <c r="H61" s="27"/>
      <c r="I61" s="27"/>
      <c r="J61" s="27"/>
      <c r="K61" s="2"/>
    </row>
    <row r="62" spans="1:11" x14ac:dyDescent="0.25">
      <c r="A62" s="156"/>
      <c r="B62" s="347"/>
      <c r="C62" s="385"/>
      <c r="D62" s="385"/>
      <c r="E62" s="385"/>
      <c r="F62" s="341"/>
      <c r="G62" s="27"/>
      <c r="H62" s="27"/>
      <c r="I62" s="27"/>
      <c r="J62" s="27"/>
      <c r="K62" s="2"/>
    </row>
    <row r="63" spans="1:11" x14ac:dyDescent="0.25">
      <c r="A63" s="156"/>
      <c r="B63" s="347"/>
      <c r="C63" s="385"/>
      <c r="D63" s="385"/>
      <c r="E63" s="385"/>
      <c r="F63" s="341"/>
      <c r="G63" s="27"/>
      <c r="H63" s="27"/>
      <c r="I63" s="27"/>
      <c r="J63" s="27"/>
      <c r="K63" s="2"/>
    </row>
    <row r="64" spans="1:11" x14ac:dyDescent="0.25">
      <c r="A64" s="156"/>
      <c r="B64" s="347"/>
      <c r="C64" s="385"/>
      <c r="D64" s="385"/>
      <c r="E64" s="385"/>
      <c r="F64" s="341"/>
      <c r="G64" s="27"/>
      <c r="H64" s="27"/>
      <c r="I64" s="27"/>
      <c r="J64" s="27"/>
      <c r="K64" s="2"/>
    </row>
    <row r="65" spans="1:11" x14ac:dyDescent="0.25">
      <c r="A65" s="156"/>
      <c r="B65" s="347"/>
      <c r="C65" s="385"/>
      <c r="D65" s="385"/>
      <c r="E65" s="385"/>
      <c r="F65" s="341"/>
      <c r="G65" s="27"/>
      <c r="H65" s="27"/>
      <c r="I65" s="27"/>
      <c r="J65" s="27"/>
      <c r="K65" s="2"/>
    </row>
    <row r="66" spans="1:11" x14ac:dyDescent="0.25">
      <c r="A66" s="156"/>
      <c r="B66" s="347"/>
      <c r="C66" s="385"/>
      <c r="D66" s="385"/>
      <c r="E66" s="385"/>
      <c r="F66" s="341"/>
      <c r="G66" s="27"/>
      <c r="H66" s="27"/>
      <c r="I66" s="27"/>
      <c r="J66" s="27"/>
      <c r="K66" s="2"/>
    </row>
    <row r="67" spans="1:11" x14ac:dyDescent="0.25">
      <c r="A67" s="156"/>
      <c r="B67" s="347"/>
      <c r="C67" s="385"/>
      <c r="D67" s="385"/>
      <c r="E67" s="385"/>
      <c r="F67" s="341"/>
      <c r="G67" s="27"/>
      <c r="H67" s="27"/>
      <c r="I67" s="27"/>
      <c r="J67" s="27"/>
      <c r="K67" s="2"/>
    </row>
    <row r="68" spans="1:11" x14ac:dyDescent="0.25">
      <c r="A68" s="156"/>
      <c r="B68" s="347"/>
      <c r="C68" s="385"/>
      <c r="D68" s="385"/>
      <c r="E68" s="385"/>
      <c r="F68" s="341"/>
      <c r="G68" s="27"/>
      <c r="H68" s="27"/>
      <c r="I68" s="27"/>
      <c r="J68" s="27"/>
      <c r="K68" s="2"/>
    </row>
    <row r="69" spans="1:11" x14ac:dyDescent="0.25">
      <c r="A69" s="156"/>
      <c r="B69" s="347"/>
      <c r="C69" s="386"/>
      <c r="D69" s="385"/>
      <c r="E69" s="385"/>
      <c r="F69" s="341"/>
      <c r="G69" s="27"/>
      <c r="H69" s="27"/>
      <c r="I69" s="27"/>
      <c r="J69" s="27"/>
      <c r="K69" s="2"/>
    </row>
    <row r="70" spans="1:11" x14ac:dyDescent="0.25">
      <c r="A70" s="156"/>
      <c r="B70" s="347"/>
      <c r="C70" s="385"/>
      <c r="D70" s="385"/>
      <c r="E70" s="385"/>
      <c r="F70" s="341"/>
      <c r="G70" s="27"/>
      <c r="H70" s="27"/>
      <c r="I70" s="27"/>
      <c r="J70" s="27"/>
      <c r="K70" s="2"/>
    </row>
    <row r="71" spans="1:11" x14ac:dyDescent="0.25">
      <c r="A71" s="156"/>
      <c r="B71" s="347"/>
      <c r="C71" s="385"/>
      <c r="D71" s="385"/>
      <c r="E71" s="385"/>
      <c r="F71" s="341"/>
      <c r="G71" s="27"/>
      <c r="H71" s="27"/>
      <c r="I71" s="27"/>
      <c r="J71" s="27"/>
      <c r="K71" s="2"/>
    </row>
    <row r="72" spans="1:11" x14ac:dyDescent="0.25">
      <c r="A72" s="156"/>
      <c r="B72" s="347"/>
      <c r="C72" s="385"/>
      <c r="D72" s="385"/>
      <c r="E72" s="385"/>
      <c r="F72" s="341"/>
      <c r="G72" s="27"/>
      <c r="H72" s="27"/>
      <c r="I72" s="27"/>
      <c r="J72" s="27"/>
      <c r="K72" s="2"/>
    </row>
    <row r="73" spans="1:11" x14ac:dyDescent="0.25">
      <c r="A73" s="156"/>
      <c r="B73" s="347"/>
      <c r="C73" s="385"/>
      <c r="D73" s="385"/>
      <c r="E73" s="385"/>
      <c r="F73" s="341"/>
      <c r="G73" s="27"/>
      <c r="H73" s="27"/>
      <c r="I73" s="27"/>
      <c r="J73" s="27"/>
      <c r="K73" s="2"/>
    </row>
    <row r="74" spans="1:11" x14ac:dyDescent="0.25">
      <c r="A74" s="156"/>
      <c r="B74" s="347"/>
      <c r="C74" s="385"/>
      <c r="D74" s="385"/>
      <c r="E74" s="385"/>
      <c r="F74" s="341"/>
      <c r="G74" s="27"/>
      <c r="H74" s="27"/>
      <c r="I74" s="27"/>
      <c r="J74" s="27"/>
      <c r="K74" s="2"/>
    </row>
    <row r="75" spans="1:11" x14ac:dyDescent="0.25">
      <c r="A75" s="156"/>
      <c r="B75" s="347"/>
      <c r="C75" s="385"/>
      <c r="D75" s="385"/>
      <c r="E75" s="385"/>
      <c r="F75" s="341"/>
      <c r="G75" s="27"/>
      <c r="H75" s="27"/>
      <c r="I75" s="27"/>
      <c r="J75" s="27"/>
      <c r="K75" s="2"/>
    </row>
    <row r="76" spans="1:11" x14ac:dyDescent="0.25">
      <c r="A76" s="156"/>
      <c r="B76" s="347"/>
      <c r="C76" s="385"/>
      <c r="D76" s="385"/>
      <c r="E76" s="385"/>
      <c r="F76" s="341"/>
      <c r="G76" s="27"/>
      <c r="H76" s="27"/>
      <c r="I76" s="27"/>
      <c r="J76" s="27"/>
      <c r="K76" s="2"/>
    </row>
    <row r="77" spans="1:11" x14ac:dyDescent="0.25">
      <c r="A77" s="156"/>
      <c r="B77" s="346"/>
      <c r="C77" s="387"/>
      <c r="D77" s="387"/>
      <c r="E77" s="387"/>
      <c r="F77" s="342"/>
      <c r="G77" s="27"/>
      <c r="H77" s="27"/>
      <c r="I77" s="27"/>
      <c r="J77" s="27"/>
      <c r="K77" s="2"/>
    </row>
    <row r="78" spans="1:11" x14ac:dyDescent="0.25">
      <c r="A78" s="156"/>
      <c r="B78" s="22"/>
      <c r="C78" s="27"/>
      <c r="E78" s="27"/>
      <c r="F78" s="27"/>
      <c r="G78" s="27"/>
      <c r="H78" s="27"/>
      <c r="I78" s="27"/>
      <c r="J78" s="27"/>
      <c r="K78" s="2"/>
    </row>
    <row r="79" spans="1:11" ht="12.75" customHeight="1" x14ac:dyDescent="0.25">
      <c r="A79" s="158" t="s">
        <v>138</v>
      </c>
      <c r="B79" s="155"/>
      <c r="C79" s="155"/>
      <c r="E79" s="155"/>
      <c r="F79" s="155"/>
      <c r="G79" s="155"/>
      <c r="H79" s="155"/>
      <c r="I79" s="155"/>
      <c r="J79" s="155"/>
      <c r="K79" s="2"/>
    </row>
    <row r="80" spans="1:11" ht="12.75" customHeight="1" x14ac:dyDescent="0.25">
      <c r="A80" s="160" t="s">
        <v>139</v>
      </c>
      <c r="C80" s="27"/>
      <c r="E80" s="155"/>
      <c r="F80" s="155"/>
      <c r="G80" s="155"/>
      <c r="H80" s="155"/>
      <c r="I80" s="155"/>
      <c r="J80" s="155"/>
      <c r="K80" s="2"/>
    </row>
    <row r="81" spans="1:11" ht="12.75" customHeight="1" x14ac:dyDescent="0.25">
      <c r="A81" s="160" t="s">
        <v>140</v>
      </c>
      <c r="C81" s="27"/>
      <c r="E81" s="155"/>
      <c r="F81" s="155"/>
      <c r="G81" s="155"/>
      <c r="H81" s="155"/>
      <c r="I81" s="155"/>
      <c r="J81" s="155"/>
      <c r="K81" s="2"/>
    </row>
    <row r="82" spans="1:11" x14ac:dyDescent="0.25">
      <c r="A82" s="24"/>
      <c r="B82" s="2"/>
      <c r="C82" s="2"/>
      <c r="D82" s="23"/>
      <c r="E82" s="2"/>
      <c r="F82" s="2"/>
      <c r="G82" s="2"/>
      <c r="H82" s="2"/>
      <c r="I82" s="2"/>
      <c r="J82" s="2"/>
      <c r="K82" s="2"/>
    </row>
    <row r="83" spans="1:11" x14ac:dyDescent="0.25">
      <c r="A83" s="24"/>
      <c r="B83" s="2"/>
      <c r="C83" s="2"/>
      <c r="D83" s="23"/>
      <c r="E83" s="2"/>
      <c r="F83" s="2"/>
      <c r="G83" s="2"/>
      <c r="H83" s="2"/>
      <c r="I83" s="2"/>
      <c r="J83" s="2"/>
      <c r="K83" s="2"/>
    </row>
    <row r="84" spans="1:11" x14ac:dyDescent="0.25">
      <c r="A84" s="24"/>
      <c r="B84" s="2"/>
      <c r="C84" s="2"/>
      <c r="D84" s="23"/>
      <c r="E84" s="2"/>
      <c r="F84" s="2"/>
      <c r="G84" s="2"/>
      <c r="H84" s="2"/>
      <c r="I84" s="2"/>
      <c r="J84" s="2"/>
      <c r="K84" s="2"/>
    </row>
    <row r="85" spans="1:11" x14ac:dyDescent="0.25">
      <c r="A85" s="24"/>
      <c r="B85" s="2"/>
      <c r="C85" s="2"/>
      <c r="D85" s="195"/>
      <c r="E85" s="2"/>
      <c r="F85" s="2"/>
      <c r="G85" s="2"/>
      <c r="H85" s="2"/>
      <c r="I85" s="2"/>
      <c r="J85" s="2"/>
      <c r="K85" s="2"/>
    </row>
    <row r="86" spans="1:11" x14ac:dyDescent="0.25">
      <c r="A86" s="24"/>
      <c r="B86" s="2"/>
      <c r="C86" s="2"/>
      <c r="D86" s="195"/>
      <c r="E86" s="2"/>
      <c r="F86" s="2"/>
      <c r="G86" s="2"/>
      <c r="H86" s="2"/>
      <c r="I86" s="2"/>
      <c r="J86" s="2"/>
      <c r="K86" s="2"/>
    </row>
    <row r="87" spans="1:11" x14ac:dyDescent="0.25">
      <c r="A87" s="24"/>
      <c r="B87" s="2"/>
      <c r="C87" s="2"/>
      <c r="D87" s="23"/>
      <c r="E87" s="2"/>
      <c r="F87" s="2"/>
      <c r="G87" s="2"/>
      <c r="H87" s="2"/>
      <c r="I87" s="2"/>
      <c r="J87" s="2"/>
      <c r="K87" s="2"/>
    </row>
  </sheetData>
  <sheetProtection password="A71E" sheet="1" objects="1" scenarios="1"/>
  <mergeCells count="45">
    <mergeCell ref="C70:E70"/>
    <mergeCell ref="C74:E74"/>
    <mergeCell ref="C75:E75"/>
    <mergeCell ref="C76:E76"/>
    <mergeCell ref="C77:E77"/>
    <mergeCell ref="C71:E71"/>
    <mergeCell ref="C72:E72"/>
    <mergeCell ref="C73:E73"/>
    <mergeCell ref="C54:E54"/>
    <mergeCell ref="C56:E56"/>
    <mergeCell ref="C57:E57"/>
    <mergeCell ref="C69:E69"/>
    <mergeCell ref="C58:E58"/>
    <mergeCell ref="C59:E59"/>
    <mergeCell ref="C60:E60"/>
    <mergeCell ref="C61:E61"/>
    <mergeCell ref="C65:E65"/>
    <mergeCell ref="C66:E66"/>
    <mergeCell ref="C67:E67"/>
    <mergeCell ref="C68:E68"/>
    <mergeCell ref="C62:E62"/>
    <mergeCell ref="C63:E63"/>
    <mergeCell ref="C64:E64"/>
    <mergeCell ref="F24:G24"/>
    <mergeCell ref="G22:I22"/>
    <mergeCell ref="C21:D21"/>
    <mergeCell ref="F28:G28"/>
    <mergeCell ref="A28:E28"/>
    <mergeCell ref="A24:D24"/>
    <mergeCell ref="A25:D25"/>
    <mergeCell ref="A27:E27"/>
    <mergeCell ref="H25:J25"/>
    <mergeCell ref="F27:G27"/>
    <mergeCell ref="F25:G25"/>
    <mergeCell ref="E22:F22"/>
    <mergeCell ref="A5:J5"/>
    <mergeCell ref="A7:J7"/>
    <mergeCell ref="C22:D22"/>
    <mergeCell ref="E21:F21"/>
    <mergeCell ref="G21:I21"/>
    <mergeCell ref="B1:J2"/>
    <mergeCell ref="A11:J11"/>
    <mergeCell ref="A13:J13"/>
    <mergeCell ref="A3:J3"/>
    <mergeCell ref="A9:F9"/>
  </mergeCells>
  <phoneticPr fontId="4" type="noConversion"/>
  <dataValidations count="10">
    <dataValidation type="list" allowBlank="1" showInputMessage="1" showErrorMessage="1" errorTitle="RECURSO" error="Digite somente os valores da lista." promptTitle="RECURSO:" prompt="Selecione na lista." sqref="J22">
      <formula1>"OGU PAC,OGU não-PAC,FGTS"</formula1>
    </dataValidation>
    <dataValidation type="decimal" allowBlank="1" showInputMessage="1" showErrorMessage="1" errorTitle="Erro de Valor" error="Digite somente valores entre 0 e 1." promptTitle="% Mínimo de Contrapartida:" prompt="Digite o percentual mínimo de Contrapartida exigido pelo Programa." sqref="B37">
      <formula1>0</formula1>
      <formula2>1</formula2>
    </dataValidation>
    <dataValidation allowBlank="1" showInputMessage="1" showErrorMessage="1" promptTitle="Nº da OPERAÇÃO:" prompt="nº do Contrato de Repasse ou Termo de Compromisso, firmado com a CAIXA._x000a_Formato 0.000.000-00/0000." sqref="A22"/>
    <dataValidation allowBlank="1" showInputMessage="1" showErrorMessage="1" promptTitle="Gestor:" prompt="Ministério Gestor do Contrato:_x000a_Ex: MCIDADES, MTUR, MESPORTE." sqref="C22"/>
    <dataValidation allowBlank="1" showInputMessage="1" showErrorMessage="1" promptTitle="Localidade / Endereço" prompt="Localidade e Endereço da Obra." sqref="F25"/>
    <dataValidation type="decimal" operator="greaterThan" allowBlank="1" showInputMessage="1" showErrorMessage="1" errorTitle="Erro de Valor" error="Digite somente valores maiores que 0." sqref="H28">
      <formula1>0</formula1>
    </dataValidation>
    <dataValidation type="decimal" operator="greaterThanOrEqual" allowBlank="1" showInputMessage="1" showErrorMessage="1" errorTitle="Erro de Valor" error="Digite valores entre 0 e o valor de Contrapartida contratado." promptTitle="Valor Absoluto de Contrapartida:" prompt="Digite o Valor Financeiro de Contrapartida Mínima, se houver." sqref="C37">
      <formula1>0</formula1>
    </dataValidation>
    <dataValidation operator="greaterThan" allowBlank="1" showInputMessage="1" showErrorMessage="1" errorTitle="Erro de Valor" error="Digite somente valores maiores que 0." sqref="J28"/>
    <dataValidation allowBlank="1" showInputMessage="1" showErrorMessage="1" promptTitle="Nº SICONV:" prompt="nº do Convênio, ou se não houver, nº da Proposta._x000a_Formato: 000000/0000." sqref="B22"/>
    <dataValidation type="decimal" operator="greaterThanOrEqual" allowBlank="1" showInputMessage="1" showErrorMessage="1" errorTitle="Erro de Valor" error="Digite somente valores maiores ou iguais a 0." sqref="I28">
      <formula1>0</formula1>
    </dataValidation>
  </dataValidations>
  <pageMargins left="0.78740157480314965" right="0.78740157480314965" top="0.78740157480314965" bottom="0.78740157480314965" header="5.7086614173228352" footer="0.59055118110236227"/>
  <pageSetup paperSize="9" scale="37" orientation="portrait" r:id="rId1"/>
  <headerFooter alignWithMargins="0">
    <oddHeader>&amp;L_</oddHeader>
    <oddFooter>&amp;R&amp;N&amp;L41.211 v009  micro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A1:AI32"/>
  <sheetViews>
    <sheetView showGridLines="0" tabSelected="1" topLeftCell="A2" zoomScaleNormal="100" zoomScaleSheetLayoutView="100" workbookViewId="0">
      <pane xSplit="4" ySplit="12" topLeftCell="H14" activePane="bottomRight" state="frozen"/>
      <selection activeCell="A2" sqref="A2"/>
      <selection pane="topRight" activeCell="E2" sqref="E2"/>
      <selection pane="bottomLeft" activeCell="A14" sqref="A14"/>
      <selection pane="bottomRight" activeCell="I27" sqref="I27:L27"/>
    </sheetView>
  </sheetViews>
  <sheetFormatPr defaultColWidth="3.33203125" defaultRowHeight="13.2" x14ac:dyDescent="0.25"/>
  <cols>
    <col min="1" max="1" width="1.5546875" style="2" customWidth="1"/>
    <col min="2" max="2" width="6.6640625" style="2" customWidth="1"/>
    <col min="3" max="3" width="9.6640625" style="2" customWidth="1"/>
    <col min="4" max="4" width="5.6640625" style="2" customWidth="1"/>
    <col min="5" max="5" width="18.6640625" style="2" customWidth="1"/>
    <col min="6" max="6" width="28.6640625" style="2" customWidth="1"/>
    <col min="7" max="7" width="35.6640625" style="2" customWidth="1"/>
    <col min="8" max="8" width="15.6640625" style="2" customWidth="1"/>
    <col min="9" max="9" width="12.6640625" style="2" customWidth="1"/>
    <col min="10" max="10" width="7.6640625" style="2" customWidth="1"/>
    <col min="11" max="11" width="16.6640625" style="2" customWidth="1"/>
    <col min="12" max="15" width="15.6640625" style="2" customWidth="1"/>
    <col min="16" max="16" width="3.33203125" style="2"/>
    <col min="17" max="17" width="15.6640625" style="2" customWidth="1"/>
    <col min="18" max="18" width="13.6640625" style="2" customWidth="1"/>
    <col min="19" max="20" width="15.6640625" style="2" customWidth="1"/>
    <col min="21" max="21" width="3.33203125" style="2"/>
    <col min="22" max="24" width="8.6640625" style="2" hidden="1" customWidth="1"/>
    <col min="25" max="25" width="13.33203125" style="2" hidden="1" customWidth="1"/>
    <col min="26" max="29" width="14.6640625" style="2" hidden="1" customWidth="1"/>
    <col min="30" max="30" width="10.6640625" style="2" hidden="1" customWidth="1"/>
    <col min="31" max="31" width="14.6640625" style="2" hidden="1" customWidth="1"/>
    <col min="32" max="32" width="6.6640625" style="2" hidden="1" customWidth="1"/>
    <col min="33" max="33" width="10.6640625" style="2" hidden="1" customWidth="1"/>
    <col min="34" max="35" width="11.6640625" style="2" hidden="1" customWidth="1"/>
    <col min="36" max="16384" width="3.33203125" style="2"/>
  </cols>
  <sheetData>
    <row r="1" spans="1:35" hidden="1" x14ac:dyDescent="0.25">
      <c r="M1" s="20"/>
      <c r="N1" s="20"/>
      <c r="O1" s="20"/>
      <c r="Q1" s="85" t="s">
        <v>154</v>
      </c>
      <c r="X1" s="20" t="s">
        <v>176</v>
      </c>
      <c r="Y1" s="20"/>
      <c r="AA1" s="20"/>
      <c r="AB1" s="20"/>
      <c r="AC1" s="20"/>
    </row>
    <row r="2" spans="1:35" x14ac:dyDescent="0.25">
      <c r="O2" s="248" t="s">
        <v>116</v>
      </c>
    </row>
    <row r="3" spans="1:35" ht="12.75" customHeight="1" x14ac:dyDescent="0.25">
      <c r="B3" s="420" t="s">
        <v>78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1"/>
      <c r="O3" s="249" t="s">
        <v>115</v>
      </c>
    </row>
    <row r="4" spans="1:35" ht="114.9" customHeight="1" x14ac:dyDescent="0.25"/>
    <row r="5" spans="1:35" ht="9.9" hidden="1" customHeight="1" x14ac:dyDescent="0.25"/>
    <row r="6" spans="1:35" ht="12.75" customHeight="1" x14ac:dyDescent="0.25">
      <c r="G6" s="388" t="str">
        <f ca="1">CHOOSE(1+LOG(1+2*(OR(AND($O$15&gt;0,$M$14&lt;$Z$7),$M$15&lt;ROUND($AA$7*$O$15,2)))+4*OR($L$7&lt;0,$M$7&lt;0)+8*(COUNTIF($L$15:$L$26,"&lt;0")&gt;0),2),"","ERRO: CONTRAPARTIDA MENOR QUE A MÍNIMA","ERRO: SALDO NEGATIVO","ERRO: VALORES DE REPASSE NEGATIVOS")</f>
        <v/>
      </c>
      <c r="H6" s="388"/>
      <c r="I6" s="388"/>
      <c r="J6" s="389"/>
      <c r="K6" s="424" t="s">
        <v>180</v>
      </c>
      <c r="L6" s="128" t="str">
        <f>CRONO!$J$11</f>
        <v>Repasse (R$)</v>
      </c>
      <c r="M6" s="128" t="s">
        <v>218</v>
      </c>
      <c r="S6" s="29" t="s">
        <v>174</v>
      </c>
      <c r="Z6" s="29" t="s">
        <v>173</v>
      </c>
      <c r="AA6" s="2" t="s">
        <v>188</v>
      </c>
      <c r="AB6" s="29" t="s">
        <v>189</v>
      </c>
      <c r="AC6" s="29" t="s">
        <v>190</v>
      </c>
    </row>
    <row r="7" spans="1:35" ht="12.75" customHeight="1" x14ac:dyDescent="0.25">
      <c r="G7" s="388"/>
      <c r="H7" s="388"/>
      <c r="I7" s="388"/>
      <c r="J7" s="389"/>
      <c r="K7" s="425"/>
      <c r="L7" s="132">
        <f ca="1">DADOS!H$28-L$15</f>
        <v>0</v>
      </c>
      <c r="M7" s="132">
        <f ca="1">DADOS!I$28-M$15</f>
        <v>0</v>
      </c>
      <c r="S7" s="135">
        <f ca="1">IF(OR($O$15=CalculadoInv,$O$15=0),0,MIN(MAX(0,($AC$7*$O$15-CalculadoCPFin)/($O$15-CalculadoInv)),1))</f>
        <v>0.33278706709183853</v>
      </c>
      <c r="Z7" s="80">
        <f>ROUND(DADOS!$B$37,4)</f>
        <v>0</v>
      </c>
      <c r="AA7" s="80">
        <f ca="1">IF($O$15=0,0,DADOS!$C$37/$O$15)</f>
        <v>0.33278706709183853</v>
      </c>
      <c r="AB7" s="80">
        <f ca="1">IF($O$15=0,0,($O$15-$AC$15-DADOS!$H$28)/$O$15)</f>
        <v>0.33278706709183853</v>
      </c>
      <c r="AC7" s="80">
        <f ca="1">MAX(Z7:AB7)</f>
        <v>0.33278706709183853</v>
      </c>
    </row>
    <row r="8" spans="1:35" ht="12.75" customHeight="1" x14ac:dyDescent="0.25">
      <c r="Q8" s="14"/>
    </row>
    <row r="9" spans="1:35" s="12" customFormat="1" ht="12.75" customHeight="1" x14ac:dyDescent="0.25">
      <c r="B9" s="426" t="s">
        <v>1</v>
      </c>
      <c r="C9" s="430" t="s">
        <v>97</v>
      </c>
      <c r="D9" s="431"/>
      <c r="E9" s="404" t="s">
        <v>98</v>
      </c>
      <c r="F9" s="427" t="s">
        <v>99</v>
      </c>
      <c r="G9" s="428" t="s">
        <v>227</v>
      </c>
      <c r="H9" s="427" t="s">
        <v>82</v>
      </c>
      <c r="I9" s="427" t="s">
        <v>206</v>
      </c>
      <c r="J9" s="428" t="s">
        <v>177</v>
      </c>
      <c r="K9" s="411" t="s">
        <v>100</v>
      </c>
      <c r="L9" s="423" t="str">
        <f>IF(DADOS!$J$22="FGTS","Financiamento","Repasse")</f>
        <v>Repasse</v>
      </c>
      <c r="M9" s="423" t="s">
        <v>113</v>
      </c>
      <c r="N9" s="422" t="s">
        <v>215</v>
      </c>
      <c r="O9" s="414" t="s">
        <v>80</v>
      </c>
      <c r="Q9" s="414" t="s">
        <v>80</v>
      </c>
      <c r="R9" s="413" t="s">
        <v>171</v>
      </c>
      <c r="S9" s="437" t="s">
        <v>113</v>
      </c>
      <c r="T9" s="418" t="str">
        <f>N9</f>
        <v>Outros</v>
      </c>
      <c r="V9" s="436" t="s">
        <v>103</v>
      </c>
      <c r="W9" s="408" t="s">
        <v>104</v>
      </c>
      <c r="X9" s="408" t="s">
        <v>155</v>
      </c>
      <c r="Y9" s="408" t="s">
        <v>108</v>
      </c>
      <c r="Z9" s="78"/>
      <c r="AD9" s="78"/>
      <c r="AE9" s="29"/>
      <c r="AF9" s="29"/>
      <c r="AG9" s="78"/>
      <c r="AH9" s="435" t="s">
        <v>101</v>
      </c>
      <c r="AI9" s="435" t="s">
        <v>156</v>
      </c>
    </row>
    <row r="10" spans="1:35" s="12" customFormat="1" ht="13.5" customHeight="1" x14ac:dyDescent="0.25">
      <c r="B10" s="426"/>
      <c r="C10" s="430"/>
      <c r="D10" s="431"/>
      <c r="E10" s="405"/>
      <c r="F10" s="427"/>
      <c r="G10" s="427"/>
      <c r="H10" s="427"/>
      <c r="I10" s="427"/>
      <c r="J10" s="429"/>
      <c r="K10" s="412"/>
      <c r="L10" s="423"/>
      <c r="M10" s="423"/>
      <c r="N10" s="423"/>
      <c r="O10" s="414"/>
      <c r="Q10" s="414"/>
      <c r="R10" s="413"/>
      <c r="S10" s="438"/>
      <c r="T10" s="419"/>
      <c r="U10" s="234"/>
      <c r="V10" s="436"/>
      <c r="W10" s="408"/>
      <c r="X10" s="408"/>
      <c r="Y10" s="408"/>
      <c r="Z10" s="88"/>
      <c r="AA10" s="415" t="s">
        <v>170</v>
      </c>
      <c r="AB10" s="416"/>
      <c r="AC10" s="417"/>
      <c r="AD10" s="78"/>
      <c r="AE10" s="80"/>
      <c r="AF10" s="80"/>
      <c r="AG10" s="78"/>
      <c r="AH10" s="435"/>
      <c r="AI10" s="435"/>
    </row>
    <row r="11" spans="1:35" customFormat="1" hidden="1" x14ac:dyDescent="0.25">
      <c r="A11" s="30"/>
      <c r="B11" s="147">
        <v>1</v>
      </c>
      <c r="C11" s="148" t="s">
        <v>0</v>
      </c>
      <c r="D11" s="141" t="str">
        <f ca="1">CONCATENATE($V11,".",IF($C11="Sub-Meta",$W11,""))</f>
        <v>1.</v>
      </c>
      <c r="E11" s="144"/>
      <c r="F11" s="87"/>
      <c r="G11" s="87"/>
      <c r="H11" s="86"/>
      <c r="I11" s="164"/>
      <c r="J11" s="76" t="e">
        <f ca="1">VLOOKUP($F11,OFFSET(Listas!$A$2,1,MATCH(QCI!$E11,Listas!$2:$2,0)-1,100,50),2,FALSE)</f>
        <v>#N/A</v>
      </c>
      <c r="K11" s="149"/>
      <c r="L11" s="150">
        <f ca="1">IF($Y11,ROUND(O11,2)-ROUND(N11,2)-ROUND(M11,2),SUM(OFFSET(L11,1,0,$X11)))</f>
        <v>0</v>
      </c>
      <c r="M11" s="151">
        <f ca="1">IF($Y11,AB11-ROUND($AF11,2),SUM(OFFSET(M11,1,0,$X11)))</f>
        <v>0</v>
      </c>
      <c r="N11" s="152">
        <f ca="1">IF($Y11,AC11,SUM(OFFSET(N11,1,0,$X11)))</f>
        <v>0</v>
      </c>
      <c r="O11" s="152">
        <f ca="1">IF($Y11,ROUND($Q11,2),SUM(OFFSET(O11,1,0,$X11)))</f>
        <v>0</v>
      </c>
      <c r="P11" s="30"/>
      <c r="Q11" s="153">
        <v>0</v>
      </c>
      <c r="R11" s="318" t="s">
        <v>207</v>
      </c>
      <c r="S11" s="319">
        <f ca="1">IF($K11="Adm. Direta",0,$O11)</f>
        <v>0</v>
      </c>
      <c r="T11" s="320">
        <f>IF($K11="Adm. Direta",$O11,0)</f>
        <v>0</v>
      </c>
      <c r="U11" s="30"/>
      <c r="V11" s="30">
        <f ca="1">IF($C11="Sub-Meta",OFFSET(V11,-1,0),OFFSET(V11,-1,0)+1)</f>
        <v>1</v>
      </c>
      <c r="W11" s="30">
        <f ca="1">IF($C11="Sub-Meta",OFFSET(W11,-1,0)+1,0)</f>
        <v>0</v>
      </c>
      <c r="X11" s="57">
        <f ca="1">IF(Y11,0,COUNTIF(OFFSET($V11,1,0):$V$17,$V11))</f>
        <v>0</v>
      </c>
      <c r="Y11" s="30" t="b">
        <f ca="1">NOT(AND($C11&lt;&gt;"Sub-Meta",OFFSET($C11,1,0)="Sub-Meta"))</f>
        <v>1</v>
      </c>
      <c r="Z11" s="30"/>
      <c r="AA11" s="83">
        <f ca="1">IF($Y11,$O11-$AB11-$AC11,"-")</f>
        <v>0</v>
      </c>
      <c r="AB11" s="83">
        <f ca="1">IF($Y11,IF($R11="Calculado",ROUND($S11,2),ROUND($S$7*$O11,2)),"-")</f>
        <v>0</v>
      </c>
      <c r="AC11" s="83">
        <f ca="1">IF($Y11,IF($R11="Calculado",ROUND($T11,2),0),"-")</f>
        <v>0</v>
      </c>
      <c r="AD11" s="84"/>
      <c r="AE11" s="83" t="b">
        <f ca="1">AND($Y11,$S$7&gt;0,$S$7&lt;1,O11&gt;0,$R11&lt;&gt;"Calculado",OR($AC$7=$AB$7,$AC$7=$AA$7,$AC$7=$Z$7))</f>
        <v>0</v>
      </c>
      <c r="AF11" s="83">
        <f ca="1">IF(AND($AE11,O11&gt;0,COUNTIF(OFFSET($AE11,1,0):$AE$17,TRUE)=0),CHOOSE(1+LOG(1+2*($AC$7=$Z$7)+4*($AC$7=$AA$7)+8*($AC$7=$AB$7),2),0,$AB$15-ROUND(DADOS!$B$37*$O$15,2),$AB$15-DADOS!$C$37,DADOS!$H$28-$AA$15),0)</f>
        <v>0</v>
      </c>
      <c r="AG11" s="30"/>
      <c r="AH11" s="30" t="str">
        <f>CONCATENATE("Lote ",ROW(A11)-ROW($A$15))</f>
        <v>Lote -4</v>
      </c>
      <c r="AI11" s="30">
        <f>IF($C11="Meta",$B11,0)</f>
        <v>1</v>
      </c>
    </row>
    <row r="12" spans="1:35" customFormat="1" hidden="1" x14ac:dyDescent="0.25"/>
    <row r="13" spans="1:35" customFormat="1" hidden="1" x14ac:dyDescent="0.25"/>
    <row r="14" spans="1:35" s="4" customFormat="1" ht="12" customHeight="1" x14ac:dyDescent="0.25">
      <c r="B14" s="107"/>
      <c r="C14" s="390" t="s">
        <v>83</v>
      </c>
      <c r="D14" s="391"/>
      <c r="E14" s="142"/>
      <c r="F14" s="93"/>
      <c r="G14" s="93"/>
      <c r="H14" s="93"/>
      <c r="I14" s="99"/>
      <c r="J14" s="99"/>
      <c r="K14" s="133"/>
      <c r="L14" s="145">
        <f ca="1">IF(ISERROR(L15/$O15),0,ROUND(L15/$O15,4))</f>
        <v>0.66720000000000002</v>
      </c>
      <c r="M14" s="94">
        <f ca="1">IF(ISERROR(M15/$O15),0,ROUND(M15/$O15,4))</f>
        <v>0.33279999999999998</v>
      </c>
      <c r="N14" s="146">
        <f ca="1">IF(ISERROR(N15/$O15),0,ROUND(N15/$O15,4))</f>
        <v>0</v>
      </c>
      <c r="O14" s="95">
        <f ca="1">IF(ISERROR(O15/$O15),0,ROUND(O15/$O15,4))</f>
        <v>1</v>
      </c>
      <c r="Q14" s="161"/>
      <c r="R14" s="161"/>
      <c r="S14" s="236"/>
      <c r="T14" s="237"/>
      <c r="AA14" s="78" t="s">
        <v>2</v>
      </c>
      <c r="AB14" s="78" t="s">
        <v>169</v>
      </c>
      <c r="AC14" s="78" t="s">
        <v>172</v>
      </c>
      <c r="AE14" s="408" t="s">
        <v>175</v>
      </c>
      <c r="AF14" s="408"/>
      <c r="AH14" s="30"/>
      <c r="AI14" s="30"/>
    </row>
    <row r="15" spans="1:35" s="4" customFormat="1" ht="13.5" customHeight="1" x14ac:dyDescent="0.25">
      <c r="B15" s="113"/>
      <c r="C15" s="392"/>
      <c r="D15" s="393"/>
      <c r="E15" s="143"/>
      <c r="F15" s="96"/>
      <c r="G15" s="96"/>
      <c r="H15" s="96"/>
      <c r="I15" s="100"/>
      <c r="J15" s="100"/>
      <c r="K15" s="134"/>
      <c r="L15" s="97">
        <f ca="1">ROUND(SUMIF($Y$15:$Y$17,TRUE,L$15:L$17),2)</f>
        <v>668500</v>
      </c>
      <c r="M15" s="97">
        <f ca="1">ROUND(SUMIF($Y$15:$Y$17,TRUE,M$15:M$17),2)</f>
        <v>333429.02</v>
      </c>
      <c r="N15" s="97">
        <f ca="1">ROUND(SUMIF($Y$15:$Y$17,TRUE,N$15:N$17),2)</f>
        <v>0</v>
      </c>
      <c r="O15" s="98">
        <f ca="1">ROUND(SUMIF($Y$16:$Y$17,TRUE,O$16:O$17),2)</f>
        <v>1001929.02</v>
      </c>
      <c r="Q15" s="139"/>
      <c r="R15" s="139"/>
      <c r="S15" s="238"/>
      <c r="T15" s="239"/>
      <c r="Y15" s="2"/>
      <c r="Z15" s="2"/>
      <c r="AA15" s="81">
        <f ca="1">ROUND(SUMIF($Y$16:$Y$17,TRUE,AA$16:AA$17),2)</f>
        <v>668500</v>
      </c>
      <c r="AB15" s="81">
        <f ca="1">ROUND(SUMIF($Y$16:$Y$17,TRUE,AB$16:AB$17),2)</f>
        <v>333429.02</v>
      </c>
      <c r="AC15" s="81">
        <f ca="1">ROUND(SUMIF($Y$16:$Y$17,TRUE,AC$16:AC$17),2)</f>
        <v>0</v>
      </c>
      <c r="AD15" s="82"/>
      <c r="AE15" s="409"/>
      <c r="AF15" s="410"/>
      <c r="AG15" s="2"/>
      <c r="AH15" s="30" t="s">
        <v>102</v>
      </c>
      <c r="AI15" s="30"/>
    </row>
    <row r="16" spans="1:35" customFormat="1" x14ac:dyDescent="0.25">
      <c r="A16" s="30"/>
      <c r="B16" s="147">
        <v>1</v>
      </c>
      <c r="C16" s="245" t="s">
        <v>0</v>
      </c>
      <c r="D16" s="141" t="str">
        <f ca="1">CONCATENATE($V16,".",IF($C16="Sub-Meta",$W16,""))</f>
        <v>1.</v>
      </c>
      <c r="E16" s="144" t="s">
        <v>3</v>
      </c>
      <c r="F16" s="87" t="s">
        <v>19</v>
      </c>
      <c r="G16" s="87" t="s">
        <v>234</v>
      </c>
      <c r="H16" s="86" t="s">
        <v>236</v>
      </c>
      <c r="I16" s="164">
        <v>6440</v>
      </c>
      <c r="J16" s="76" t="str">
        <f ca="1">VLOOKUP($F16,OFFSET(Listas!$A$2,1,MATCH(QCI!$E16,Listas!$2:$2,0)-1,100,50),2,FALSE)</f>
        <v>m²</v>
      </c>
      <c r="K16" s="149" t="s">
        <v>237</v>
      </c>
      <c r="L16" s="150">
        <f ca="1">IF($Y16,ROUND(O16,2)-ROUND(N16,2)-ROUND(M16,2),SUM(OFFSET(L16,1,0,$X16)))</f>
        <v>668500</v>
      </c>
      <c r="M16" s="151">
        <f ca="1">IF($Y16,AB16-ROUND($AF16,2),SUM(OFFSET(M16,1,0,$X16)))</f>
        <v>333429.02</v>
      </c>
      <c r="N16" s="152">
        <f ca="1">IF($Y16,AC16,SUM(OFFSET(N16,1,0,$X16)))</f>
        <v>0</v>
      </c>
      <c r="O16" s="152">
        <f ca="1">IF($Y16,ROUND($Q16,2),SUM(OFFSET(O16,1,0,$X16)))</f>
        <v>1001929.02</v>
      </c>
      <c r="P16" s="30"/>
      <c r="Q16" s="153">
        <v>1001929.02</v>
      </c>
      <c r="R16" s="318" t="s">
        <v>207</v>
      </c>
      <c r="S16" s="319">
        <f ca="1">IF($K16="Adm. Direta",0,$O16)</f>
        <v>1001929.02</v>
      </c>
      <c r="T16" s="320">
        <f>IF($K16="Adm. Direta",$O16,0)</f>
        <v>0</v>
      </c>
      <c r="U16" s="30"/>
      <c r="V16" s="30">
        <f ca="1">IF($C16="Sub-Meta",OFFSET(V16,-1,0),OFFSET(V16,-1,0)+1)</f>
        <v>1</v>
      </c>
      <c r="W16" s="30">
        <f ca="1">IF($C16="Sub-Meta",OFFSET(W16,-1,0)+1,0)</f>
        <v>0</v>
      </c>
      <c r="X16" s="57">
        <f ca="1">IF(Y16,0,COUNTIF(OFFSET($V16,1,0):$V$17,$V16))</f>
        <v>0</v>
      </c>
      <c r="Y16" s="30" t="b">
        <f ca="1">NOT(AND($C16&lt;&gt;"Sub-Meta",OFFSET($C16,1,0)="Sub-Meta"))</f>
        <v>1</v>
      </c>
      <c r="Z16" s="30"/>
      <c r="AA16" s="83">
        <f ca="1">IF($Y16,$O16-$AB16-$AC16,"-")</f>
        <v>668500</v>
      </c>
      <c r="AB16" s="83">
        <f ca="1">IF($Y16,IF($R16="Calculado",ROUND($S16,2),ROUND($S$7*$O16,2)),"-")</f>
        <v>333429.02</v>
      </c>
      <c r="AC16" s="83">
        <f ca="1">IF($Y16,IF($R16="Calculado",ROUND($T16,2),0),"-")</f>
        <v>0</v>
      </c>
      <c r="AD16" s="84"/>
      <c r="AE16" s="83" t="b">
        <f ca="1">AND($Y16,$S$7&gt;0,$S$7&lt;1,O16&gt;0,$R16&lt;&gt;"Calculado",OR($AC$7=$AB$7,$AC$7=$AA$7,$AC$7=$Z$7))</f>
        <v>1</v>
      </c>
      <c r="AF16" s="83">
        <f ca="1">IF(AND($AE16,O16&gt;0,COUNTIF(OFFSET($AE16,1,0):$AE$17,TRUE)=0),CHOOSE(1+LOG(1+2*($AC$7=$Z$7)+4*($AC$7=$AA$7)+8*($AC$7=$AB$7),2),0,$AB$15-ROUND(DADOS!$B$37*$O$15,2),$AB$15-DADOS!$C$37,DADOS!$H$28-$AA$15),0)</f>
        <v>0</v>
      </c>
      <c r="AG16" s="30"/>
      <c r="AH16" s="30" t="str">
        <f>CONCATENATE("Lote ",ROW(A16)-ROW($A$15))</f>
        <v>Lote 1</v>
      </c>
      <c r="AI16" s="30">
        <f>IF($C16="Meta",$B16,0)</f>
        <v>1</v>
      </c>
    </row>
    <row r="17" spans="2:35" s="4" customFormat="1" ht="5.25" customHeight="1" x14ac:dyDescent="0.25"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1"/>
      <c r="P17" s="19"/>
      <c r="Q17" s="233"/>
      <c r="R17" s="140"/>
      <c r="S17" s="140"/>
      <c r="T17" s="140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2:35" ht="12.75" customHeight="1" x14ac:dyDescent="0.3">
      <c r="B18" s="5"/>
      <c r="C18" s="5"/>
      <c r="D18" s="7"/>
      <c r="E18" s="6"/>
      <c r="F18" s="7"/>
      <c r="G18" s="5"/>
      <c r="H18" s="8"/>
      <c r="I18" s="8"/>
      <c r="J18" s="8"/>
      <c r="K18" s="8"/>
      <c r="L18" s="8"/>
      <c r="M18" s="8"/>
      <c r="N18" s="8"/>
      <c r="Q18" s="8"/>
    </row>
    <row r="19" spans="2:35" ht="12.75" hidden="1" customHeight="1" x14ac:dyDescent="0.3">
      <c r="B19" s="406" t="s">
        <v>223</v>
      </c>
      <c r="C19" s="407"/>
      <c r="D19" s="407"/>
      <c r="E19" s="6"/>
      <c r="F19" s="7"/>
      <c r="G19" s="5"/>
      <c r="H19" s="8"/>
      <c r="I19" s="8"/>
      <c r="J19" s="8"/>
      <c r="K19" s="8"/>
      <c r="L19" s="8"/>
      <c r="M19" s="8"/>
      <c r="N19" s="8"/>
      <c r="O19" s="330"/>
      <c r="Q19" s="8"/>
    </row>
    <row r="20" spans="2:35" ht="24.9" hidden="1" customHeight="1" x14ac:dyDescent="0.25">
      <c r="B20" s="432"/>
      <c r="C20" s="433"/>
      <c r="D20" s="433"/>
      <c r="E20" s="433"/>
      <c r="F20" s="433"/>
      <c r="G20" s="433"/>
      <c r="H20" s="433"/>
      <c r="I20" s="433"/>
      <c r="J20" s="433"/>
      <c r="K20" s="433"/>
      <c r="L20" s="433"/>
      <c r="M20" s="433"/>
      <c r="N20" s="433"/>
      <c r="O20" s="434"/>
      <c r="Q20" s="8"/>
    </row>
    <row r="21" spans="2:35" ht="24.9" hidden="1" customHeight="1" x14ac:dyDescent="0.25">
      <c r="B21" s="432"/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4"/>
      <c r="Q21" s="8"/>
    </row>
    <row r="22" spans="2:35" ht="12.75" hidden="1" customHeight="1" x14ac:dyDescent="0.3">
      <c r="B22" s="331"/>
      <c r="C22" s="331"/>
      <c r="D22" s="331"/>
      <c r="E22" s="332"/>
      <c r="F22" s="331"/>
      <c r="G22" s="331"/>
      <c r="H22" s="333"/>
      <c r="I22" s="333"/>
      <c r="J22" s="333"/>
      <c r="K22" s="333"/>
      <c r="L22" s="333"/>
      <c r="M22" s="333"/>
      <c r="N22" s="333"/>
      <c r="O22" s="334"/>
      <c r="Q22" s="8"/>
    </row>
    <row r="23" spans="2:35" ht="12.75" customHeight="1" x14ac:dyDescent="0.3">
      <c r="B23" s="5"/>
      <c r="G23" s="6"/>
      <c r="H23" s="8"/>
      <c r="I23" s="394" t="s">
        <v>81</v>
      </c>
      <c r="J23" s="395"/>
      <c r="K23" s="224">
        <v>1</v>
      </c>
      <c r="L23" s="225">
        <f t="shared" ref="L23:O25" ca="1" si="0">SUMIF($AI$15:$AI$17,$K23,L$15:L$17)</f>
        <v>668500</v>
      </c>
      <c r="M23" s="225">
        <f t="shared" ca="1" si="0"/>
        <v>333429.02</v>
      </c>
      <c r="N23" s="225">
        <f t="shared" ca="1" si="0"/>
        <v>0</v>
      </c>
      <c r="O23" s="226">
        <f t="shared" ca="1" si="0"/>
        <v>1001929.02</v>
      </c>
    </row>
    <row r="24" spans="2:35" ht="12.75" customHeight="1" x14ac:dyDescent="0.25">
      <c r="B24" s="5"/>
      <c r="G24" s="5"/>
      <c r="H24" s="8"/>
      <c r="I24" s="396"/>
      <c r="J24" s="397"/>
      <c r="K24" s="227">
        <f ca="1">OFFSET(K24,-1,0)+1</f>
        <v>2</v>
      </c>
      <c r="L24" s="228">
        <f t="shared" ca="1" si="0"/>
        <v>0</v>
      </c>
      <c r="M24" s="228">
        <f t="shared" ca="1" si="0"/>
        <v>0</v>
      </c>
      <c r="N24" s="228">
        <f t="shared" ca="1" si="0"/>
        <v>0</v>
      </c>
      <c r="O24" s="229">
        <f t="shared" ca="1" si="0"/>
        <v>0</v>
      </c>
    </row>
    <row r="25" spans="2:35" ht="12.75" customHeight="1" x14ac:dyDescent="0.25">
      <c r="B25" s="5"/>
      <c r="C25" s="40"/>
      <c r="D25" s="40"/>
      <c r="E25" s="40"/>
      <c r="F25" s="38"/>
      <c r="G25" s="5"/>
      <c r="H25" s="8"/>
      <c r="I25" s="398"/>
      <c r="J25" s="399"/>
      <c r="K25" s="230">
        <f ca="1">OFFSET(K25,-1,0)+1</f>
        <v>3</v>
      </c>
      <c r="L25" s="231">
        <f t="shared" ca="1" si="0"/>
        <v>0</v>
      </c>
      <c r="M25" s="231">
        <f t="shared" ca="1" si="0"/>
        <v>0</v>
      </c>
      <c r="N25" s="231">
        <f t="shared" ca="1" si="0"/>
        <v>0</v>
      </c>
      <c r="O25" s="232">
        <f t="shared" ca="1" si="0"/>
        <v>0</v>
      </c>
    </row>
    <row r="26" spans="2:35" ht="12.75" customHeight="1" x14ac:dyDescent="0.3">
      <c r="C26" s="403" t="s">
        <v>144</v>
      </c>
      <c r="D26" s="403"/>
      <c r="E26" s="403"/>
      <c r="F26" s="403"/>
      <c r="G26" s="6"/>
      <c r="H26" s="8"/>
      <c r="I26" s="8"/>
      <c r="J26" s="8"/>
      <c r="K26" s="8"/>
      <c r="L26" s="8"/>
      <c r="M26" s="8"/>
      <c r="N26" s="8"/>
      <c r="Q26" s="8"/>
    </row>
    <row r="27" spans="2:35" ht="12.75" customHeight="1" x14ac:dyDescent="0.3">
      <c r="C27" s="39" t="s">
        <v>142</v>
      </c>
      <c r="D27" s="400"/>
      <c r="E27" s="400"/>
      <c r="F27" s="400"/>
      <c r="G27" s="6"/>
      <c r="H27" s="37" t="s">
        <v>107</v>
      </c>
      <c r="I27" s="402"/>
      <c r="J27" s="400"/>
      <c r="K27" s="400"/>
      <c r="L27" s="400"/>
      <c r="M27" s="3"/>
      <c r="N27" s="3"/>
      <c r="Q27" s="3"/>
    </row>
    <row r="28" spans="2:35" ht="12.75" customHeight="1" x14ac:dyDescent="0.3">
      <c r="C28" s="39" t="s">
        <v>143</v>
      </c>
      <c r="D28" s="400"/>
      <c r="E28" s="400"/>
      <c r="F28" s="400"/>
      <c r="G28" s="6"/>
      <c r="H28" s="37" t="s">
        <v>106</v>
      </c>
      <c r="I28" s="401">
        <f ca="1">TODAY()</f>
        <v>45562</v>
      </c>
      <c r="J28" s="401"/>
      <c r="K28" s="401"/>
      <c r="L28" s="401"/>
      <c r="M28" s="3"/>
      <c r="N28" s="3"/>
      <c r="Q28" s="3"/>
    </row>
    <row r="29" spans="2:35" ht="12.75" customHeight="1" x14ac:dyDescent="0.3">
      <c r="G29" s="6"/>
    </row>
    <row r="30" spans="2:35" x14ac:dyDescent="0.25">
      <c r="D30" s="9"/>
      <c r="E30" s="9"/>
      <c r="F30" s="9"/>
      <c r="G30" s="9"/>
    </row>
    <row r="31" spans="2:35" x14ac:dyDescent="0.25">
      <c r="D31" s="9"/>
      <c r="E31" s="9"/>
      <c r="F31" s="9"/>
      <c r="G31" s="9"/>
    </row>
    <row r="32" spans="2:35" x14ac:dyDescent="0.25">
      <c r="D32" s="9"/>
      <c r="E32" s="9"/>
      <c r="F32" s="9"/>
      <c r="G32" s="9"/>
      <c r="H32" s="9"/>
      <c r="I32" s="9"/>
      <c r="J32" s="9"/>
      <c r="K32" s="9"/>
      <c r="L32" s="9"/>
      <c r="M32" s="3"/>
      <c r="N32" s="3"/>
      <c r="Q32" s="3"/>
    </row>
  </sheetData>
  <sheetProtection password="A71E" sheet="1" objects="1" scenarios="1"/>
  <mergeCells count="38">
    <mergeCell ref="AI9:AI10"/>
    <mergeCell ref="Q9:Q10"/>
    <mergeCell ref="L9:L10"/>
    <mergeCell ref="M9:M10"/>
    <mergeCell ref="V9:V10"/>
    <mergeCell ref="X9:X10"/>
    <mergeCell ref="AH9:AH10"/>
    <mergeCell ref="Y9:Y10"/>
    <mergeCell ref="S9:S10"/>
    <mergeCell ref="B3:N3"/>
    <mergeCell ref="N9:N10"/>
    <mergeCell ref="K6:K7"/>
    <mergeCell ref="B9:B10"/>
    <mergeCell ref="H9:H10"/>
    <mergeCell ref="I9:I10"/>
    <mergeCell ref="J9:J10"/>
    <mergeCell ref="C9:D10"/>
    <mergeCell ref="G9:G10"/>
    <mergeCell ref="F9:F10"/>
    <mergeCell ref="AE14:AF14"/>
    <mergeCell ref="AE15:AF15"/>
    <mergeCell ref="K9:K10"/>
    <mergeCell ref="W9:W10"/>
    <mergeCell ref="R9:R10"/>
    <mergeCell ref="O9:O10"/>
    <mergeCell ref="AA10:AC10"/>
    <mergeCell ref="T9:T10"/>
    <mergeCell ref="G6:J7"/>
    <mergeCell ref="C14:D15"/>
    <mergeCell ref="I23:J25"/>
    <mergeCell ref="D28:F28"/>
    <mergeCell ref="I28:L28"/>
    <mergeCell ref="I27:L27"/>
    <mergeCell ref="C26:F26"/>
    <mergeCell ref="D27:F27"/>
    <mergeCell ref="E9:E10"/>
    <mergeCell ref="B19:D19"/>
    <mergeCell ref="B20:O21"/>
  </mergeCells>
  <phoneticPr fontId="4" type="noConversion"/>
  <conditionalFormatting sqref="C11:D11 G11 C16:D16 G16">
    <cfRule type="expression" dxfId="84" priority="1186" stopIfTrue="1">
      <formula>$C11="Meta"</formula>
    </cfRule>
  </conditionalFormatting>
  <conditionalFormatting sqref="B11 B16">
    <cfRule type="expression" dxfId="83" priority="1189" stopIfTrue="1">
      <formula>$C11="Sub-Meta"</formula>
    </cfRule>
  </conditionalFormatting>
  <conditionalFormatting sqref="I11:J11 I16:J16">
    <cfRule type="expression" dxfId="82" priority="1190" stopIfTrue="1">
      <formula>OR($C11="Sub-Meta",ISERROR(I11))</formula>
    </cfRule>
  </conditionalFormatting>
  <conditionalFormatting sqref="E11 E16">
    <cfRule type="expression" dxfId="81" priority="1205" stopIfTrue="1">
      <formula>$C11="Sub-Meta"</formula>
    </cfRule>
    <cfRule type="expression" dxfId="80" priority="1206" stopIfTrue="1">
      <formula>$C11="Meta"</formula>
    </cfRule>
  </conditionalFormatting>
  <conditionalFormatting sqref="F11 F16">
    <cfRule type="expression" dxfId="79" priority="1207" stopIfTrue="1">
      <formula>AND(ISERROR($J11),F11&lt;&gt;"")</formula>
    </cfRule>
    <cfRule type="expression" dxfId="78" priority="1208" stopIfTrue="1">
      <formula>$C11="Sub-Meta"</formula>
    </cfRule>
    <cfRule type="expression" dxfId="77" priority="1209" stopIfTrue="1">
      <formula>$C11="Meta"</formula>
    </cfRule>
  </conditionalFormatting>
  <conditionalFormatting sqref="R11 R16">
    <cfRule type="expression" dxfId="76" priority="1244" stopIfTrue="1">
      <formula>NOT($Y11)</formula>
    </cfRule>
  </conditionalFormatting>
  <conditionalFormatting sqref="S11:T11 S16:T16">
    <cfRule type="expression" dxfId="75" priority="1245" stopIfTrue="1">
      <formula>OR(NOT($Y11),$R11="Proporcional")</formula>
    </cfRule>
  </conditionalFormatting>
  <conditionalFormatting sqref="H11 K11 H16 K16">
    <cfRule type="expression" dxfId="74" priority="1311" stopIfTrue="1">
      <formula>NOT($Y11)</formula>
    </cfRule>
    <cfRule type="expression" dxfId="73" priority="1312" stopIfTrue="1">
      <formula>$C11="Meta"</formula>
    </cfRule>
  </conditionalFormatting>
  <conditionalFormatting sqref="Q11 Q16">
    <cfRule type="expression" dxfId="72" priority="1319" stopIfTrue="1">
      <formula>NOT($Y11)</formula>
    </cfRule>
    <cfRule type="expression" dxfId="71" priority="1320" stopIfTrue="1">
      <formula>$C11="Meta"</formula>
    </cfRule>
  </conditionalFormatting>
  <conditionalFormatting sqref="L11:O11 L16:O16">
    <cfRule type="cellIs" dxfId="70" priority="760" stopIfTrue="1" operator="notBetween">
      <formula>0</formula>
      <formula>ABS($O11)</formula>
    </cfRule>
    <cfRule type="expression" dxfId="69" priority="1343" stopIfTrue="1">
      <formula>$Y11=FALSE</formula>
    </cfRule>
    <cfRule type="expression" dxfId="68" priority="1344" stopIfTrue="1">
      <formula>$C11="Meta"</formula>
    </cfRule>
  </conditionalFormatting>
  <conditionalFormatting sqref="L7">
    <cfRule type="cellIs" dxfId="67" priority="1229" stopIfTrue="1" operator="lessThan">
      <formula>0</formula>
    </cfRule>
  </conditionalFormatting>
  <conditionalFormatting sqref="M15">
    <cfRule type="cellIs" dxfId="66" priority="1330" stopIfTrue="1" operator="lessThan">
      <formula>ROUND($AA$7*$O$15,2)</formula>
    </cfRule>
  </conditionalFormatting>
  <conditionalFormatting sqref="M14">
    <cfRule type="expression" dxfId="65" priority="1347" stopIfTrue="1">
      <formula>AND($O$15&gt;0,$M$14&lt;$Z$7)</formula>
    </cfRule>
  </conditionalFormatting>
  <conditionalFormatting sqref="M7">
    <cfRule type="cellIs" dxfId="64" priority="112" stopIfTrue="1" operator="lessThan">
      <formula>0</formula>
    </cfRule>
  </conditionalFormatting>
  <dataValidations count="14">
    <dataValidation type="whole" operator="greaterThan" allowBlank="1" showInputMessage="1" showErrorMessage="1" promptTitle="Totalizador da Etapa:" prompt="Digite o nº da Etapa para visualizar os valores totais." sqref="K23:K25">
      <formula1>0</formula1>
    </dataValidation>
    <dataValidation type="date" operator="greaterThan" allowBlank="1" showInputMessage="1" showErrorMessage="1" sqref="I28">
      <formula1>36526</formula1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/Submeta." sqref="S11 S16">
      <formula1>0</formula1>
      <formula2>$O11-$T11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/Submeta." sqref="T11 T16">
      <formula1>0</formula1>
      <formula2>$O11-$S11</formula2>
    </dataValidation>
    <dataValidation type="list" allowBlank="1" showInputMessage="1" showErrorMessage="1" promptTitle="Item de Investimento:" prompt="Selecione na lista." sqref="E11 E16">
      <formula1>ItemInvestimento</formula1>
    </dataValidation>
    <dataValidation type="whole" operator="greaterThan" allowBlank="1" showInputMessage="1" showErrorMessage="1" sqref="B11 B16">
      <formula1>0</formula1>
    </dataValidation>
    <dataValidation type="list" allowBlank="1" showInputMessage="1" showErrorMessage="1" promptTitle="Meta / Sub-Meta" prompt="Selecione na lista." sqref="C11">
      <formula1>"Meta,Sub-Meta"</formula1>
    </dataValidation>
    <dataValidation type="list" allowBlank="1" showInputMessage="1" showErrorMessage="1" promptTitle="Sub-Item de Investimento:" prompt="Selecione na lista." sqref="F11 F16">
      <formula1>SubItemInvestimento</formula1>
    </dataValidation>
    <dataValidation type="list" allowBlank="1" showInputMessage="1" showErrorMessage="1" errorTitle="Erro de Entrada" error="Selecione somente os valores da lista." promptTitle="Divisão do Investimento:" prompt="Selecione na lista." sqref="R11 R16">
      <formula1>"Proporcional,Calculado"</formula1>
    </dataValidation>
    <dataValidation type="decimal" operator="greaterThanOrEqual" allowBlank="1" showInputMessage="1" showErrorMessage="1" errorTitle="Erro de valor" error="Digite somente valores maiores ou iguais a 0." sqref="Q11 Q16">
      <formula1>0</formula1>
    </dataValidation>
    <dataValidation allowBlank="1" showInputMessage="1" showErrorMessage="1" prompt="Preencha os valores nas colunas à direita." sqref="L11:O11 L16:O16"/>
    <dataValidation type="decimal" operator="greaterThan" allowBlank="1" showInputMessage="1" showErrorMessage="1" sqref="I11 I16">
      <formula1>0</formula1>
    </dataValidation>
    <dataValidation type="list" allowBlank="1" showInputMessage="1" showErrorMessage="1" promptTitle="Situação:" prompt="Selecione na lista." sqref="H11 H16">
      <formula1>"Sem Projeto,Em Análise,Análise Concluída / A Licitar,Licitado / Em Execução, Concluído"</formula1>
    </dataValidation>
    <dataValidation type="list" allowBlank="1" showInputMessage="1" promptTitle="Lote de Licitação / nº CTEF:" prompt="Para Metas / Sub-Metas não licitadas, selecione na lista o Lote de Licitação._x000a_Para Metas / Sub-Metas licitadas, selecione o nº do CTEF." sqref="K11 K16">
      <formula1>IF(OR($H11="Sem Projeto",$H11="Em Análise",$H11="Análise Concluída / a licitar"),I.Lotes,I.CTEF)</formula1>
    </dataValidation>
  </dataValidations>
  <pageMargins left="0.78740157480314965" right="0.78740157480314965" top="0.78740157480314965" bottom="0.78740157480314965" header="0.59055118110236227" footer="0.59055118110236227"/>
  <pageSetup paperSize="9" scale="59" fitToHeight="0" orientation="landscape" r:id="rId1"/>
  <headerFooter alignWithMargins="0">
    <oddHeader>&amp;C&amp;14I</oddHeader>
    <oddFooter>&amp;R&amp;N&amp;L41.211 v009  micro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/>
  <dimension ref="A1:X36"/>
  <sheetViews>
    <sheetView showGridLines="0" zoomScaleNormal="100" zoomScaleSheetLayoutView="100" workbookViewId="0">
      <pane xSplit="10" ySplit="9" topLeftCell="K10" activePane="bottomRight" state="frozen"/>
      <selection activeCell="J32" sqref="J32:Q32"/>
      <selection pane="topRight" activeCell="J32" sqref="J32:Q32"/>
      <selection pane="bottomLeft" activeCell="J32" sqref="J32:Q32"/>
      <selection pane="bottomRight" activeCell="K20" sqref="K20"/>
    </sheetView>
  </sheetViews>
  <sheetFormatPr defaultColWidth="3.33203125" defaultRowHeight="13.2" x14ac:dyDescent="0.25"/>
  <cols>
    <col min="1" max="1" width="8.6640625" style="2" hidden="1" customWidth="1"/>
    <col min="2" max="2" width="13.6640625" style="2" hidden="1" customWidth="1"/>
    <col min="3" max="3" width="17.6640625" style="2" hidden="1" customWidth="1"/>
    <col min="4" max="4" width="1.5546875" style="2" hidden="1" customWidth="1"/>
    <col min="5" max="5" width="4.6640625" style="2" customWidth="1"/>
    <col min="6" max="6" width="9.6640625" style="2" customWidth="1"/>
    <col min="7" max="7" width="5.6640625" style="2" customWidth="1"/>
    <col min="8" max="8" width="32.6640625" style="2" customWidth="1"/>
    <col min="9" max="9" width="17.6640625" style="2" customWidth="1"/>
    <col min="10" max="10" width="14.6640625" style="2" customWidth="1"/>
    <col min="11" max="18" width="17.6640625" style="2" customWidth="1"/>
    <col min="19" max="19" width="0.88671875" style="2" customWidth="1"/>
    <col min="20" max="20" width="3.33203125" style="2"/>
    <col min="21" max="21" width="3.33203125" style="2" customWidth="1"/>
    <col min="22" max="23" width="3.33203125" style="2"/>
    <col min="24" max="24" width="17.6640625" style="2" hidden="1" customWidth="1"/>
    <col min="25" max="16384" width="3.33203125" style="2"/>
  </cols>
  <sheetData>
    <row r="1" spans="1:24" x14ac:dyDescent="0.25">
      <c r="F1" s="85"/>
      <c r="G1" s="10"/>
      <c r="H1" s="10"/>
      <c r="J1" s="85"/>
      <c r="R1" s="248" t="str">
        <f>QCI!$O$2</f>
        <v>Grau de Sigilo</v>
      </c>
      <c r="S1" s="85"/>
    </row>
    <row r="2" spans="1:24" x14ac:dyDescent="0.25">
      <c r="J2" s="246"/>
      <c r="K2" s="442" t="s">
        <v>85</v>
      </c>
      <c r="L2" s="442"/>
      <c r="M2" s="442"/>
      <c r="N2" s="442"/>
      <c r="O2" s="442"/>
      <c r="P2" s="442"/>
      <c r="Q2" s="443"/>
      <c r="R2" s="249" t="str">
        <f>QCI!$O$3</f>
        <v>#PUBLICO</v>
      </c>
    </row>
    <row r="3" spans="1:24" ht="9.9" customHeight="1" x14ac:dyDescent="0.25">
      <c r="G3" s="54"/>
      <c r="I3" s="54"/>
      <c r="J3" s="54"/>
      <c r="K3" s="442"/>
      <c r="L3" s="442"/>
      <c r="M3" s="442"/>
      <c r="N3" s="442"/>
      <c r="O3" s="442"/>
      <c r="P3" s="442"/>
      <c r="Q3" s="444"/>
      <c r="R3" s="198"/>
    </row>
    <row r="4" spans="1:24" ht="105" customHeight="1" x14ac:dyDescent="0.25"/>
    <row r="5" spans="1:24" ht="24.9" customHeight="1" x14ac:dyDescent="0.25">
      <c r="B5" s="265" t="s">
        <v>210</v>
      </c>
      <c r="E5" s="457" t="str">
        <f ca="1">CHOOSE(1+LOG(1+2*(OFFSET(S16,0,-1)&lt;&gt;$I$16)+4*(COUNTIF($K$15:$S$15,"&gt;1")&gt;0)+8*(OFFSET(S19,0,-1)&lt;&gt;$I$19)+16*(ROUND($I$19,2)=0),2),"","ERRO: DIVISÃO DO INVESTIMENTO NÃO CONFERE","ERRO: PARCELAS MAIORES QUE 100%","ERRO: CRONOGRAMA NÃO FECHA EM 100%","")</f>
        <v>ERRO: CRONOGRAMA NÃO FECHA EM 100%</v>
      </c>
      <c r="F5" s="457"/>
      <c r="G5" s="457"/>
      <c r="H5" s="55"/>
      <c r="I5" s="163" t="str">
        <f>IF($B$6=2,"Qtde de Medições realizadas","")</f>
        <v/>
      </c>
      <c r="J5" s="163" t="str">
        <f>IF($B$6=2,"Reinício Previsto","Início Previsto")</f>
        <v>Início Previsto</v>
      </c>
    </row>
    <row r="6" spans="1:24" ht="14.1" customHeight="1" x14ac:dyDescent="0.25">
      <c r="B6" s="266">
        <v>1</v>
      </c>
      <c r="E6" s="457"/>
      <c r="F6" s="457"/>
      <c r="G6" s="457"/>
      <c r="H6" s="262"/>
      <c r="I6" s="288">
        <v>1</v>
      </c>
      <c r="J6" s="289">
        <v>42948</v>
      </c>
      <c r="K6" s="56"/>
      <c r="X6" s="56"/>
    </row>
    <row r="7" spans="1:24" ht="12.75" customHeight="1" x14ac:dyDescent="0.25">
      <c r="J7" s="66">
        <f>IF(AND($B$6=2,$I$6&gt;0),$I$6-1,0)</f>
        <v>0</v>
      </c>
      <c r="K7" s="66">
        <f t="shared" ref="K7:R7" ca="1" si="0">OFFSET(K7,0,-1)+1</f>
        <v>1</v>
      </c>
      <c r="L7" s="66">
        <f t="shared" ca="1" si="0"/>
        <v>2</v>
      </c>
      <c r="M7" s="66">
        <f t="shared" ca="1" si="0"/>
        <v>3</v>
      </c>
      <c r="N7" s="66">
        <f t="shared" ca="1" si="0"/>
        <v>4</v>
      </c>
      <c r="O7" s="66">
        <f t="shared" ca="1" si="0"/>
        <v>5</v>
      </c>
      <c r="P7" s="66">
        <f t="shared" ca="1" si="0"/>
        <v>6</v>
      </c>
      <c r="Q7" s="66">
        <f t="shared" ca="1" si="0"/>
        <v>7</v>
      </c>
      <c r="R7" s="66">
        <f t="shared" ca="1" si="0"/>
        <v>8</v>
      </c>
      <c r="X7" s="66">
        <f ca="1">OFFSET(X7,0,-1)+1</f>
        <v>1</v>
      </c>
    </row>
    <row r="8" spans="1:24" s="10" customFormat="1" ht="12.75" customHeight="1" x14ac:dyDescent="0.25">
      <c r="A8" s="265"/>
      <c r="E8" s="462" t="s">
        <v>1</v>
      </c>
      <c r="F8" s="463" t="s">
        <v>97</v>
      </c>
      <c r="G8" s="464"/>
      <c r="H8" s="448" t="s">
        <v>227</v>
      </c>
      <c r="I8" s="426" t="s">
        <v>110</v>
      </c>
      <c r="J8" s="274"/>
      <c r="K8" s="273" t="str">
        <f ca="1">IF(K7=0,CONCATENATE("Parcela ",$I$6),CONCATENATE("Parcela ",K7))</f>
        <v>Parcela 1</v>
      </c>
      <c r="L8" s="101" t="str">
        <f ca="1">IF(L7=0,CONCATENATE("Parcela ",$I$6),CONCATENATE("Parcela ",L7))</f>
        <v>Parcela 2</v>
      </c>
      <c r="M8" s="101" t="str">
        <f t="shared" ref="M8:R8" ca="1" si="1">IF(M7=0,CONCATENATE("Parcela ",$I$6),CONCATENATE("Parcela ",M7))</f>
        <v>Parcela 3</v>
      </c>
      <c r="N8" s="101" t="str">
        <f t="shared" ca="1" si="1"/>
        <v>Parcela 4</v>
      </c>
      <c r="O8" s="101" t="str">
        <f t="shared" ca="1" si="1"/>
        <v>Parcela 5</v>
      </c>
      <c r="P8" s="101" t="str">
        <f t="shared" ca="1" si="1"/>
        <v>Parcela 6</v>
      </c>
      <c r="Q8" s="101" t="str">
        <f t="shared" ca="1" si="1"/>
        <v>Parcela 7</v>
      </c>
      <c r="R8" s="92" t="str">
        <f t="shared" ca="1" si="1"/>
        <v>Parcela 8</v>
      </c>
      <c r="S8" s="199"/>
      <c r="X8" s="101" t="str">
        <f ca="1">IF(X7=0,CONCATENATE("Parcela ",$I$6),CONCATENATE("Parcela ",X7))</f>
        <v>Parcela 1</v>
      </c>
    </row>
    <row r="9" spans="1:24" s="10" customFormat="1" ht="13.5" customHeight="1" x14ac:dyDescent="0.25">
      <c r="A9" s="263" t="s">
        <v>155</v>
      </c>
      <c r="B9" s="263" t="s">
        <v>212</v>
      </c>
      <c r="C9" s="268" t="s">
        <v>211</v>
      </c>
      <c r="E9" s="462"/>
      <c r="F9" s="465"/>
      <c r="G9" s="466"/>
      <c r="H9" s="449"/>
      <c r="I9" s="445"/>
      <c r="J9" s="275"/>
      <c r="K9" s="279">
        <f t="shared" ref="K9:R9" ca="1" si="2">IF(AND($B$6=2,$I$6&gt;0,J8=0),"Executado",DATE(YEAR($J$6),MONTH($J$6)+K7-IF(AND($B$6=2,$I$6&gt;0),$I$6,0),1))</f>
        <v>42979</v>
      </c>
      <c r="L9" s="138">
        <f t="shared" ca="1" si="2"/>
        <v>43009</v>
      </c>
      <c r="M9" s="138">
        <f t="shared" ca="1" si="2"/>
        <v>43040</v>
      </c>
      <c r="N9" s="138">
        <f t="shared" ca="1" si="2"/>
        <v>43070</v>
      </c>
      <c r="O9" s="138">
        <f t="shared" ca="1" si="2"/>
        <v>43101</v>
      </c>
      <c r="P9" s="138">
        <f t="shared" ca="1" si="2"/>
        <v>43132</v>
      </c>
      <c r="Q9" s="138">
        <f t="shared" ca="1" si="2"/>
        <v>43160</v>
      </c>
      <c r="R9" s="296">
        <f t="shared" ca="1" si="2"/>
        <v>43191</v>
      </c>
      <c r="S9" s="199"/>
      <c r="X9" s="138">
        <f ca="1">IF(AND($B$6=2,$I$6&gt;0,W8=0),"Executado",DATE(YEAR($J$6),MONTH($J$6)+X7-IF(AND($B$6=2,$I$6&gt;0),$I$6,0),1))</f>
        <v>42979</v>
      </c>
    </row>
    <row r="10" spans="1:24" customFormat="1" ht="12" customHeight="1" x14ac:dyDescent="0.25">
      <c r="A10" s="31"/>
      <c r="B10" s="31"/>
      <c r="D10" s="31"/>
      <c r="E10" s="107"/>
      <c r="F10" s="108"/>
      <c r="G10" s="109"/>
      <c r="H10" s="446" t="s">
        <v>109</v>
      </c>
      <c r="I10" s="303">
        <v>0</v>
      </c>
      <c r="J10" s="276" t="s">
        <v>111</v>
      </c>
      <c r="K10" s="280">
        <f t="shared" ref="K10:R10" ca="1" si="3">IF(COLUMN()-COLUMN($J$8)&gt;1,K15-J15,K15)</f>
        <v>0</v>
      </c>
      <c r="L10" s="257">
        <f t="shared" ca="1" si="3"/>
        <v>0</v>
      </c>
      <c r="M10" s="257">
        <f t="shared" ca="1" si="3"/>
        <v>0</v>
      </c>
      <c r="N10" s="257">
        <f t="shared" ca="1" si="3"/>
        <v>0</v>
      </c>
      <c r="O10" s="257">
        <f t="shared" ca="1" si="3"/>
        <v>0</v>
      </c>
      <c r="P10" s="257">
        <f t="shared" ca="1" si="3"/>
        <v>0</v>
      </c>
      <c r="Q10" s="257">
        <f t="shared" ca="1" si="3"/>
        <v>0</v>
      </c>
      <c r="R10" s="297">
        <f t="shared" ca="1" si="3"/>
        <v>0</v>
      </c>
      <c r="S10" s="200"/>
      <c r="T10" s="31"/>
      <c r="U10" s="31"/>
      <c r="X10" s="257">
        <f ca="1">IF(COLUMN()-COLUMN($J$8)&gt;1,X15-W15,X15)</f>
        <v>0</v>
      </c>
    </row>
    <row r="11" spans="1:24" customFormat="1" ht="12" customHeight="1" x14ac:dyDescent="0.25">
      <c r="A11" s="264"/>
      <c r="B11" s="269" t="str">
        <f>J11</f>
        <v>Repasse (R$)</v>
      </c>
      <c r="D11" s="31"/>
      <c r="E11" s="110"/>
      <c r="F11" s="111"/>
      <c r="G11" s="112"/>
      <c r="H11" s="447"/>
      <c r="I11" s="304">
        <v>0</v>
      </c>
      <c r="J11" s="277" t="str">
        <f>IF(DADOS!$J$22="FGTS","Financ. (R$)","Repasse (R$)")</f>
        <v>Repasse (R$)</v>
      </c>
      <c r="K11" s="281">
        <f t="shared" ref="K11:R11" ca="1" si="4">IF(COLUMN()-COLUMN($J$8)&gt;1,K16-J16,K16)</f>
        <v>0</v>
      </c>
      <c r="L11" s="258">
        <f t="shared" ca="1" si="4"/>
        <v>0</v>
      </c>
      <c r="M11" s="258">
        <f t="shared" ca="1" si="4"/>
        <v>0</v>
      </c>
      <c r="N11" s="258">
        <f t="shared" ca="1" si="4"/>
        <v>0</v>
      </c>
      <c r="O11" s="258">
        <f t="shared" ca="1" si="4"/>
        <v>0</v>
      </c>
      <c r="P11" s="258">
        <f t="shared" ca="1" si="4"/>
        <v>0</v>
      </c>
      <c r="Q11" s="258">
        <f t="shared" ca="1" si="4"/>
        <v>0</v>
      </c>
      <c r="R11" s="298">
        <f t="shared" ca="1" si="4"/>
        <v>0</v>
      </c>
      <c r="S11" s="200"/>
      <c r="T11" s="31"/>
      <c r="U11" s="31"/>
      <c r="X11" s="258">
        <f ca="1">IF(COLUMN()-COLUMN($J$8)&gt;1,X16-W16,X16)</f>
        <v>0</v>
      </c>
    </row>
    <row r="12" spans="1:24" customFormat="1" ht="12" customHeight="1" x14ac:dyDescent="0.25">
      <c r="A12" s="264"/>
      <c r="B12" s="269" t="str">
        <f t="shared" ref="B12:B19" si="5">J12</f>
        <v>CP Fin. (R$)</v>
      </c>
      <c r="D12" s="31"/>
      <c r="E12" s="110"/>
      <c r="F12" s="111"/>
      <c r="G12" s="112"/>
      <c r="H12" s="447"/>
      <c r="I12" s="304">
        <v>0</v>
      </c>
      <c r="J12" s="277" t="s">
        <v>191</v>
      </c>
      <c r="K12" s="281">
        <f t="shared" ref="K12:R12" ca="1" si="6">IF(COLUMN()-COLUMN($J$8)&gt;1,K17-J17,K17)</f>
        <v>0</v>
      </c>
      <c r="L12" s="258">
        <f t="shared" ca="1" si="6"/>
        <v>0</v>
      </c>
      <c r="M12" s="258">
        <f t="shared" ca="1" si="6"/>
        <v>0</v>
      </c>
      <c r="N12" s="258">
        <f t="shared" ca="1" si="6"/>
        <v>0</v>
      </c>
      <c r="O12" s="258">
        <f t="shared" ca="1" si="6"/>
        <v>0</v>
      </c>
      <c r="P12" s="258">
        <f t="shared" ca="1" si="6"/>
        <v>0</v>
      </c>
      <c r="Q12" s="258">
        <f t="shared" ca="1" si="6"/>
        <v>0</v>
      </c>
      <c r="R12" s="298">
        <f t="shared" ca="1" si="6"/>
        <v>0</v>
      </c>
      <c r="S12" s="200"/>
      <c r="T12" s="31"/>
      <c r="U12" s="31"/>
      <c r="X12" s="258">
        <f ca="1">IF(COLUMN()-COLUMN($J$8)&gt;1,X17-W17,X17)</f>
        <v>0</v>
      </c>
    </row>
    <row r="13" spans="1:24" customFormat="1" ht="12" customHeight="1" x14ac:dyDescent="0.25">
      <c r="A13" s="264"/>
      <c r="B13" s="269" t="str">
        <f t="shared" si="5"/>
        <v>Outros (R$)</v>
      </c>
      <c r="D13" s="31"/>
      <c r="E13" s="110"/>
      <c r="F13" s="111"/>
      <c r="G13" s="112"/>
      <c r="H13" s="447"/>
      <c r="I13" s="304">
        <v>0</v>
      </c>
      <c r="J13" s="277" t="str">
        <f>IF(QCI!$N$9="Outros","Outros (R$)","CP Fis. (R$)")</f>
        <v>Outros (R$)</v>
      </c>
      <c r="K13" s="281">
        <f t="shared" ref="K13:R13" ca="1" si="7">IF(COLUMN()-COLUMN($J$8)&gt;1,K18-J18,K18)</f>
        <v>0</v>
      </c>
      <c r="L13" s="258">
        <f t="shared" ca="1" si="7"/>
        <v>0</v>
      </c>
      <c r="M13" s="258">
        <f t="shared" ca="1" si="7"/>
        <v>0</v>
      </c>
      <c r="N13" s="258">
        <f t="shared" ca="1" si="7"/>
        <v>0</v>
      </c>
      <c r="O13" s="258">
        <f t="shared" ca="1" si="7"/>
        <v>0</v>
      </c>
      <c r="P13" s="258">
        <f t="shared" ca="1" si="7"/>
        <v>0</v>
      </c>
      <c r="Q13" s="258">
        <f t="shared" ca="1" si="7"/>
        <v>0</v>
      </c>
      <c r="R13" s="298">
        <f t="shared" ca="1" si="7"/>
        <v>0</v>
      </c>
      <c r="S13" s="200"/>
      <c r="T13" s="31"/>
      <c r="U13" s="31"/>
      <c r="X13" s="258">
        <f ca="1">IF(COLUMN()-COLUMN($J$8)&gt;1,X18-W18,X18)</f>
        <v>0</v>
      </c>
    </row>
    <row r="14" spans="1:24" customFormat="1" ht="12" customHeight="1" x14ac:dyDescent="0.25">
      <c r="A14" s="264"/>
      <c r="B14" s="269" t="str">
        <f t="shared" si="5"/>
        <v>Invest. (R$)</v>
      </c>
      <c r="D14" s="31"/>
      <c r="E14" s="110"/>
      <c r="F14" s="111"/>
      <c r="G14" s="112"/>
      <c r="H14" s="447"/>
      <c r="I14" s="305">
        <v>0</v>
      </c>
      <c r="J14" s="278" t="s">
        <v>112</v>
      </c>
      <c r="K14" s="282">
        <f t="shared" ref="K14:R14" ca="1" si="8">IF(COLUMN()-COLUMN($J$8)&gt;1,K19-J19,K19)</f>
        <v>0</v>
      </c>
      <c r="L14" s="259">
        <f t="shared" ca="1" si="8"/>
        <v>0</v>
      </c>
      <c r="M14" s="259">
        <f t="shared" ca="1" si="8"/>
        <v>0</v>
      </c>
      <c r="N14" s="259">
        <f t="shared" ca="1" si="8"/>
        <v>0</v>
      </c>
      <c r="O14" s="259">
        <f t="shared" ca="1" si="8"/>
        <v>0</v>
      </c>
      <c r="P14" s="259">
        <f t="shared" ca="1" si="8"/>
        <v>0</v>
      </c>
      <c r="Q14" s="259">
        <f t="shared" ca="1" si="8"/>
        <v>0</v>
      </c>
      <c r="R14" s="299">
        <f t="shared" ca="1" si="8"/>
        <v>0</v>
      </c>
      <c r="S14" s="200"/>
      <c r="T14" s="31"/>
      <c r="U14" s="31"/>
      <c r="X14" s="259">
        <f ca="1">IF(COLUMN()-COLUMN($J$8)&gt;1,X19-W19,X19)</f>
        <v>0</v>
      </c>
    </row>
    <row r="15" spans="1:24" s="4" customFormat="1" ht="12" customHeight="1" x14ac:dyDescent="0.25">
      <c r="A15" s="264"/>
      <c r="B15" s="269"/>
      <c r="E15" s="110"/>
      <c r="F15" s="111"/>
      <c r="G15" s="112"/>
      <c r="H15" s="460" t="s">
        <v>213</v>
      </c>
      <c r="I15" s="306">
        <v>0</v>
      </c>
      <c r="J15" s="276" t="s">
        <v>111</v>
      </c>
      <c r="K15" s="280">
        <f t="shared" ref="K15:R15" ca="1" si="9">ROUND(K19/$I19,4)</f>
        <v>0</v>
      </c>
      <c r="L15" s="257">
        <f t="shared" ca="1" si="9"/>
        <v>0</v>
      </c>
      <c r="M15" s="257">
        <f t="shared" ca="1" si="9"/>
        <v>0</v>
      </c>
      <c r="N15" s="257">
        <f t="shared" ca="1" si="9"/>
        <v>0</v>
      </c>
      <c r="O15" s="257">
        <f t="shared" ca="1" si="9"/>
        <v>0</v>
      </c>
      <c r="P15" s="257">
        <f t="shared" ca="1" si="9"/>
        <v>0</v>
      </c>
      <c r="Q15" s="257">
        <f t="shared" ca="1" si="9"/>
        <v>0</v>
      </c>
      <c r="R15" s="297">
        <f t="shared" ca="1" si="9"/>
        <v>0</v>
      </c>
      <c r="S15" s="201"/>
      <c r="X15" s="257">
        <f ca="1">ROUND(X19/$I19,4)</f>
        <v>0</v>
      </c>
    </row>
    <row r="16" spans="1:24" s="4" customFormat="1" ht="12" customHeight="1" x14ac:dyDescent="0.25">
      <c r="A16" s="264"/>
      <c r="B16" s="269" t="str">
        <f t="shared" si="5"/>
        <v>Repasse (R$)</v>
      </c>
      <c r="E16" s="110"/>
      <c r="F16" s="111"/>
      <c r="G16" s="112"/>
      <c r="H16" s="460"/>
      <c r="I16" s="307">
        <f ca="1">QCI!$L$15</f>
        <v>668500</v>
      </c>
      <c r="J16" s="277" t="str">
        <f>J11</f>
        <v>Repasse (R$)</v>
      </c>
      <c r="K16" s="281">
        <f t="shared" ref="K16:R16" ca="1" si="10">IF(K19=$I$19,$I$16,ROUND(K19,2)-ROUND(K18,2)-ROUND(K17,2))</f>
        <v>0</v>
      </c>
      <c r="L16" s="258">
        <f t="shared" ca="1" si="10"/>
        <v>0</v>
      </c>
      <c r="M16" s="258">
        <f t="shared" ca="1" si="10"/>
        <v>0</v>
      </c>
      <c r="N16" s="258">
        <f t="shared" ca="1" si="10"/>
        <v>0</v>
      </c>
      <c r="O16" s="258">
        <f t="shared" ca="1" si="10"/>
        <v>0</v>
      </c>
      <c r="P16" s="258">
        <f t="shared" ca="1" si="10"/>
        <v>0</v>
      </c>
      <c r="Q16" s="258">
        <f t="shared" ca="1" si="10"/>
        <v>0</v>
      </c>
      <c r="R16" s="298">
        <f t="shared" ca="1" si="10"/>
        <v>0</v>
      </c>
      <c r="S16" s="201"/>
      <c r="X16" s="258">
        <f ca="1">IF(X19=$I$19,$I$16,ROUND(X19,2)-ROUND(X18,2)-ROUND(X17,2))</f>
        <v>0</v>
      </c>
    </row>
    <row r="17" spans="1:24" s="4" customFormat="1" ht="12" customHeight="1" x14ac:dyDescent="0.25">
      <c r="A17" s="264">
        <f>ROW($A$25)-ROW()-1</f>
        <v>7</v>
      </c>
      <c r="B17" s="269" t="str">
        <f t="shared" si="5"/>
        <v>CP Fin. (R$)</v>
      </c>
      <c r="E17" s="110"/>
      <c r="F17" s="111"/>
      <c r="G17" s="112"/>
      <c r="H17" s="460"/>
      <c r="I17" s="307">
        <f ca="1">QCI!$M$15</f>
        <v>333429.02</v>
      </c>
      <c r="J17" s="277" t="s">
        <v>191</v>
      </c>
      <c r="K17" s="292">
        <f t="shared" ref="K17:R18" ca="1" si="11">IF(K$14&lt;SumCrono-IF(ISNUMBER(J17),J17,0),K$14+IF(ISNUMBER(J17),J17,0),MAX(SumCrono,IF(ISNUMBER(J17),J17,0)))</f>
        <v>0</v>
      </c>
      <c r="L17" s="293">
        <f t="shared" ca="1" si="11"/>
        <v>0</v>
      </c>
      <c r="M17" s="293">
        <f t="shared" ca="1" si="11"/>
        <v>0</v>
      </c>
      <c r="N17" s="293">
        <f t="shared" ca="1" si="11"/>
        <v>0</v>
      </c>
      <c r="O17" s="293">
        <f t="shared" ca="1" si="11"/>
        <v>0</v>
      </c>
      <c r="P17" s="293">
        <f t="shared" ca="1" si="11"/>
        <v>0</v>
      </c>
      <c r="Q17" s="293">
        <f t="shared" ca="1" si="11"/>
        <v>0</v>
      </c>
      <c r="R17" s="294">
        <f t="shared" ca="1" si="11"/>
        <v>0</v>
      </c>
      <c r="S17" s="201"/>
      <c r="X17" s="293">
        <f ca="1">IF(X$14&lt;SumCrono-IF(ISNUMBER(W17),W17,0),X$14+IF(ISNUMBER(W17),W17,0),MAX(SumCrono,IF(ISNUMBER(W17),W17,0)))</f>
        <v>0</v>
      </c>
    </row>
    <row r="18" spans="1:24" s="4" customFormat="1" ht="12" customHeight="1" x14ac:dyDescent="0.25">
      <c r="A18" s="264">
        <f>ROW($A$25)-ROW()-1</f>
        <v>6</v>
      </c>
      <c r="B18" s="269" t="str">
        <f t="shared" si="5"/>
        <v>Outros (R$)</v>
      </c>
      <c r="E18" s="110"/>
      <c r="F18" s="111"/>
      <c r="G18" s="112"/>
      <c r="H18" s="460"/>
      <c r="I18" s="307">
        <f ca="1">QCI!$N$15</f>
        <v>0</v>
      </c>
      <c r="J18" s="277" t="str">
        <f>IF(QCI!$N$9="Outros","Outros (R$)","CP Fis. (R$)")</f>
        <v>Outros (R$)</v>
      </c>
      <c r="K18" s="292">
        <f t="shared" ca="1" si="11"/>
        <v>0</v>
      </c>
      <c r="L18" s="293">
        <f t="shared" ca="1" si="11"/>
        <v>0</v>
      </c>
      <c r="M18" s="293">
        <f t="shared" ca="1" si="11"/>
        <v>0</v>
      </c>
      <c r="N18" s="293">
        <f t="shared" ca="1" si="11"/>
        <v>0</v>
      </c>
      <c r="O18" s="293">
        <f t="shared" ca="1" si="11"/>
        <v>0</v>
      </c>
      <c r="P18" s="293">
        <f t="shared" ca="1" si="11"/>
        <v>0</v>
      </c>
      <c r="Q18" s="293">
        <f t="shared" ca="1" si="11"/>
        <v>0</v>
      </c>
      <c r="R18" s="294">
        <f t="shared" ca="1" si="11"/>
        <v>0</v>
      </c>
      <c r="S18" s="201"/>
      <c r="X18" s="293">
        <f ca="1">IF(X$14&lt;SumCrono-IF(ISNUMBER(W18),W18,0),X$14+IF(ISNUMBER(W18),W18,0),MAX(SumCrono,IF(ISNUMBER(W18),W18,0)))</f>
        <v>0</v>
      </c>
    </row>
    <row r="19" spans="1:24" s="4" customFormat="1" ht="12" customHeight="1" x14ac:dyDescent="0.25">
      <c r="A19" s="264">
        <f>ROW($A$25)-ROW()-1</f>
        <v>5</v>
      </c>
      <c r="B19" s="269" t="str">
        <f t="shared" si="5"/>
        <v>Acum. Inv. (R$)</v>
      </c>
      <c r="E19" s="113"/>
      <c r="F19" s="286"/>
      <c r="G19" s="287"/>
      <c r="H19" s="461"/>
      <c r="I19" s="308">
        <f ca="1">IF(QCI!$O$15=0,10^-12,QCI!$O$15)</f>
        <v>1001929.02</v>
      </c>
      <c r="J19" s="278" t="s">
        <v>209</v>
      </c>
      <c r="K19" s="282">
        <f t="shared" ref="K19:R19" ca="1" si="12">IF(ISNUMBER(J19),IF(J19&gt;SumCrono,J19,SumCrono),SumCrono)</f>
        <v>0</v>
      </c>
      <c r="L19" s="259">
        <f t="shared" ca="1" si="12"/>
        <v>0</v>
      </c>
      <c r="M19" s="259">
        <f t="shared" ca="1" si="12"/>
        <v>0</v>
      </c>
      <c r="N19" s="259">
        <f t="shared" ca="1" si="12"/>
        <v>0</v>
      </c>
      <c r="O19" s="259">
        <f t="shared" ca="1" si="12"/>
        <v>0</v>
      </c>
      <c r="P19" s="259">
        <f t="shared" ca="1" si="12"/>
        <v>0</v>
      </c>
      <c r="Q19" s="259">
        <f t="shared" ca="1" si="12"/>
        <v>0</v>
      </c>
      <c r="R19" s="299">
        <f t="shared" ca="1" si="12"/>
        <v>0</v>
      </c>
      <c r="S19" s="201"/>
      <c r="X19" s="259">
        <f ca="1">IF(ISNUMBER(W19),IF(W19&gt;SumCrono,W19,SumCrono),SumCrono)</f>
        <v>0</v>
      </c>
    </row>
    <row r="20" spans="1:24" customFormat="1" ht="12.75" customHeight="1" x14ac:dyDescent="0.25">
      <c r="A20" s="165">
        <f ca="1">OFFSET(QCI!X$16,(ROW(A20)-ROW(A$20))/numlinhaCrono,0)*numlinhaCrono</f>
        <v>0</v>
      </c>
      <c r="B20" s="165" t="b">
        <f ca="1">OFFSET(QCI!Y$16,(ROW(B20)-ROW(B$20))/numlinhaCrono,0)</f>
        <v>1</v>
      </c>
      <c r="C20" s="32"/>
      <c r="D20" s="290" t="s">
        <v>201</v>
      </c>
      <c r="E20" s="467">
        <f ca="1">OFFSET(QCI!B$16,(ROW(E20)-ROW(E$20))/numlinhaCrono,0)</f>
        <v>1</v>
      </c>
      <c r="F20" s="453" t="str">
        <f ca="1">OFFSET(QCI!C$16,(ROW(F20)-ROW(F$20))/numlinhaCrono,0)</f>
        <v>Meta</v>
      </c>
      <c r="G20" s="455" t="str">
        <f ca="1">OFFSET(QCI!D$16,(ROW(G20)-ROW(G$20))/numlinhaCrono,0)</f>
        <v>1.</v>
      </c>
      <c r="H20" s="458" t="str">
        <f ca="1">OFFSET(QCI!G$16,(ROW(H20)-ROW(H$20))/numlinhaCrono,0)</f>
        <v>PAVIMENTAÇÃO EM CBUQ</v>
      </c>
      <c r="I20" s="469">
        <f ca="1">C21</f>
        <v>1001929.02</v>
      </c>
      <c r="J20" s="272" t="s">
        <v>84</v>
      </c>
      <c r="K20" s="283">
        <f ca="1">IF($I20=0,0,MIN(1,MAX($K24:K24)/$I20))</f>
        <v>0</v>
      </c>
      <c r="L20" s="260">
        <f ca="1">IF($I20=0,0,MIN(1,MAX($K24:L24)/$I20))</f>
        <v>0</v>
      </c>
      <c r="M20" s="260">
        <f ca="1">IF($I20=0,0,MIN(1,MAX($K24:M24)/$I20))</f>
        <v>0</v>
      </c>
      <c r="N20" s="260">
        <f ca="1">IF($I20=0,0,MIN(1,MAX($K24:N24)/$I20))</f>
        <v>0</v>
      </c>
      <c r="O20" s="260">
        <f ca="1">IF($I20=0,0,MIN(1,MAX($K24:O24)/$I20))</f>
        <v>0</v>
      </c>
      <c r="P20" s="260">
        <f ca="1">IF($I20=0,0,MIN(1,MAX($K24:P24)/$I20))</f>
        <v>0</v>
      </c>
      <c r="Q20" s="260">
        <f ca="1">IF($I20=0,0,MIN(1,MAX($K24:Q24)/$I20))</f>
        <v>0</v>
      </c>
      <c r="R20" s="300">
        <f ca="1">IF($I20=0,0,MIN(1,MAX($K24:R24)/$I20))</f>
        <v>0</v>
      </c>
      <c r="S20" s="202"/>
      <c r="T20" s="32"/>
      <c r="U20" s="32"/>
      <c r="X20" s="260">
        <f ca="1">IF($I20=0,0,MIN(1,MAX($K24:X24)/$I20))</f>
        <v>0</v>
      </c>
    </row>
    <row r="21" spans="1:24" customFormat="1" ht="12.75" customHeight="1" x14ac:dyDescent="0.25">
      <c r="A21" s="165">
        <f ca="1">A20</f>
        <v>0</v>
      </c>
      <c r="B21" s="268"/>
      <c r="C21" s="256">
        <f ca="1">OFFSET(QCI!$O$16,(ROW()-ROW(C$20))/numlinhaCrono,0)</f>
        <v>1001929.02</v>
      </c>
      <c r="D21" s="32"/>
      <c r="E21" s="468"/>
      <c r="F21" s="454"/>
      <c r="G21" s="456"/>
      <c r="H21" s="459"/>
      <c r="I21" s="470"/>
      <c r="J21" s="270" t="str">
        <f>J$19</f>
        <v>Acum. Inv. (R$)</v>
      </c>
      <c r="K21" s="284">
        <f ca="1">IF($B20,MAX($J24:J24),K24)</f>
        <v>0</v>
      </c>
      <c r="L21" s="267">
        <f ca="1">IF($B20,MAX($J24:K24),L24)</f>
        <v>0</v>
      </c>
      <c r="M21" s="267">
        <f ca="1">IF($B20,MAX($J24:L24),M24)</f>
        <v>0</v>
      </c>
      <c r="N21" s="267">
        <f ca="1">IF($B20,MAX($J24:M24),N24)</f>
        <v>0</v>
      </c>
      <c r="O21" s="267">
        <f ca="1">IF($B20,MAX($J24:N24),O24)</f>
        <v>0</v>
      </c>
      <c r="P21" s="267">
        <f ca="1">IF($B20,MAX($J24:O24),P24)</f>
        <v>0</v>
      </c>
      <c r="Q21" s="267">
        <f ca="1">IF($B20,MAX($J24:P24),Q24)</f>
        <v>0</v>
      </c>
      <c r="R21" s="301">
        <f ca="1">IF($B20,MAX($J24:Q24),R24)</f>
        <v>0</v>
      </c>
      <c r="S21" s="202"/>
      <c r="T21" s="32"/>
      <c r="U21" s="32"/>
      <c r="X21" s="267">
        <f ca="1">IF($B20,MAX($J24:W24),X24)</f>
        <v>0</v>
      </c>
    </row>
    <row r="22" spans="1:24" customFormat="1" ht="12.75" hidden="1" customHeight="1" x14ac:dyDescent="0.25">
      <c r="A22" s="165">
        <f ca="1">A21</f>
        <v>0</v>
      </c>
      <c r="B22" s="256" t="str">
        <f ca="1">IF(AND($B20,$C22&gt;0),$J$17,"-")</f>
        <v>CP Fin. (R$)</v>
      </c>
      <c r="C22" s="256">
        <f ca="1">OFFSET(QCI!$M$16,(ROW()-ROW(C$20))/numlinhaCrono,0)</f>
        <v>333429.02</v>
      </c>
      <c r="D22" s="32"/>
      <c r="E22" s="136"/>
      <c r="F22" s="106"/>
      <c r="G22" s="103"/>
      <c r="H22" s="154"/>
      <c r="I22" s="470"/>
      <c r="J22" s="271" t="str">
        <f>J$17</f>
        <v>CP Fin. (R$)</v>
      </c>
      <c r="K22" s="285">
        <f t="shared" ref="K22:R22" ca="1" si="13">IF($B20,ROUND($C22*K20,2),ROUND(SumCrono,2))</f>
        <v>0</v>
      </c>
      <c r="L22" s="261">
        <f t="shared" ca="1" si="13"/>
        <v>0</v>
      </c>
      <c r="M22" s="261">
        <f t="shared" ca="1" si="13"/>
        <v>0</v>
      </c>
      <c r="N22" s="261">
        <f t="shared" ca="1" si="13"/>
        <v>0</v>
      </c>
      <c r="O22" s="261">
        <f t="shared" ca="1" si="13"/>
        <v>0</v>
      </c>
      <c r="P22" s="261">
        <f t="shared" ca="1" si="13"/>
        <v>0</v>
      </c>
      <c r="Q22" s="261">
        <f t="shared" ca="1" si="13"/>
        <v>0</v>
      </c>
      <c r="R22" s="302">
        <f t="shared" ca="1" si="13"/>
        <v>0</v>
      </c>
      <c r="S22" s="202"/>
      <c r="T22" s="32"/>
      <c r="U22" s="32"/>
      <c r="X22" s="261">
        <f ca="1">IF($B20,ROUND($C22*X20,2),ROUND(SumCrono,2))</f>
        <v>0</v>
      </c>
    </row>
    <row r="23" spans="1:24" customFormat="1" ht="12.75" hidden="1" customHeight="1" x14ac:dyDescent="0.25">
      <c r="A23" s="165">
        <f ca="1">A22</f>
        <v>0</v>
      </c>
      <c r="B23" s="256" t="str">
        <f ca="1">IF(AND($B20,$C23&gt;0),$J$18,"-")</f>
        <v>-</v>
      </c>
      <c r="C23" s="256">
        <f ca="1">OFFSET(QCI!$N$16,(ROW()-ROW(C$20))/numlinhaCrono,0)</f>
        <v>0</v>
      </c>
      <c r="D23" s="32"/>
      <c r="E23" s="136"/>
      <c r="F23" s="106"/>
      <c r="G23" s="103"/>
      <c r="H23" s="154"/>
      <c r="I23" s="470"/>
      <c r="J23" s="271" t="str">
        <f>J$18</f>
        <v>Outros (R$)</v>
      </c>
      <c r="K23" s="285">
        <f t="shared" ref="K23:R23" ca="1" si="14">IF($B20,ROUND($C23*K20,2),ROUND(SumCrono,2))</f>
        <v>0</v>
      </c>
      <c r="L23" s="261">
        <f t="shared" ca="1" si="14"/>
        <v>0</v>
      </c>
      <c r="M23" s="261">
        <f t="shared" ca="1" si="14"/>
        <v>0</v>
      </c>
      <c r="N23" s="261">
        <f t="shared" ca="1" si="14"/>
        <v>0</v>
      </c>
      <c r="O23" s="261">
        <f t="shared" ca="1" si="14"/>
        <v>0</v>
      </c>
      <c r="P23" s="261">
        <f t="shared" ca="1" si="14"/>
        <v>0</v>
      </c>
      <c r="Q23" s="261">
        <f t="shared" ca="1" si="14"/>
        <v>0</v>
      </c>
      <c r="R23" s="302">
        <f t="shared" ca="1" si="14"/>
        <v>0</v>
      </c>
      <c r="S23" s="202"/>
      <c r="T23" s="32"/>
      <c r="U23" s="32"/>
      <c r="X23" s="261">
        <f ca="1">IF($B20,ROUND($C23*X20,2),ROUND(SumCrono,2))</f>
        <v>0</v>
      </c>
    </row>
    <row r="24" spans="1:24" customFormat="1" ht="12.75" hidden="1" customHeight="1" x14ac:dyDescent="0.25">
      <c r="A24" s="165">
        <f ca="1">A23</f>
        <v>0</v>
      </c>
      <c r="B24" s="256" t="str">
        <f ca="1">IF(AND($B20,$C21&gt;0),$J$19,"-")</f>
        <v>Acum. Inv. (R$)</v>
      </c>
      <c r="C24" s="256">
        <f ca="1">OFFSET(QCI!$O$16,(ROW()-ROW(C$20))/numlinhaCrono,0)</f>
        <v>1001929.02</v>
      </c>
      <c r="D24" s="32"/>
      <c r="E24" s="136"/>
      <c r="F24" s="106"/>
      <c r="G24" s="103"/>
      <c r="H24" s="154"/>
      <c r="I24" s="471"/>
      <c r="J24" s="291" t="str">
        <f>J$19</f>
        <v>Acum. Inv. (R$)</v>
      </c>
      <c r="K24" s="285">
        <f ca="1">IF($B20,MIN($C24,MAX($K21:K21)),SumCrono)</f>
        <v>0</v>
      </c>
      <c r="L24" s="261">
        <f ca="1">IF($B20,MIN($C24,MAX($K21:L21)),SumCrono)</f>
        <v>0</v>
      </c>
      <c r="M24" s="261">
        <f ca="1">IF($B20,MIN($C24,MAX($K21:M21)),SumCrono)</f>
        <v>0</v>
      </c>
      <c r="N24" s="261">
        <f ca="1">IF($B20,MIN($C24,MAX($K21:N21)),SumCrono)</f>
        <v>0</v>
      </c>
      <c r="O24" s="261">
        <f ca="1">IF($B20,MIN($C24,MAX($K21:O21)),SumCrono)</f>
        <v>0</v>
      </c>
      <c r="P24" s="261">
        <f ca="1">IF($B20,MIN($C24,MAX($K21:P21)),SumCrono)</f>
        <v>0</v>
      </c>
      <c r="Q24" s="261">
        <f ca="1">IF($B20,MIN($C24,MAX($K21:Q21)),SumCrono)</f>
        <v>0</v>
      </c>
      <c r="R24" s="302">
        <f ca="1">IF($B20,MIN($C24,MAX($K21:R21)),SumCrono)</f>
        <v>0</v>
      </c>
      <c r="S24" s="202"/>
      <c r="T24" s="32"/>
      <c r="U24" s="32"/>
      <c r="X24" s="261">
        <f ca="1">IF($B20,MIN($C24,MAX($K21:X21)),SumCrono)</f>
        <v>0</v>
      </c>
    </row>
    <row r="25" spans="1:24" s="4" customFormat="1" ht="5.25" customHeight="1" x14ac:dyDescent="0.25">
      <c r="E25" s="89"/>
      <c r="F25" s="102"/>
      <c r="G25" s="90"/>
      <c r="H25" s="90"/>
      <c r="I25" s="309"/>
      <c r="J25" s="90"/>
      <c r="K25" s="90"/>
      <c r="L25" s="90"/>
      <c r="M25" s="90"/>
      <c r="N25" s="90"/>
      <c r="O25" s="90"/>
      <c r="P25" s="90"/>
      <c r="Q25" s="90"/>
      <c r="R25" s="91"/>
      <c r="S25" s="203"/>
      <c r="X25" s="90"/>
    </row>
    <row r="26" spans="1:24" ht="12.75" customHeight="1" x14ac:dyDescent="0.25">
      <c r="E26" s="5"/>
      <c r="F26" s="5"/>
      <c r="G26" s="7"/>
      <c r="H26" s="5"/>
      <c r="J26" s="8"/>
      <c r="S26" s="14"/>
    </row>
    <row r="27" spans="1:24" ht="12.75" hidden="1" customHeight="1" x14ac:dyDescent="0.25">
      <c r="E27" s="406" t="s">
        <v>223</v>
      </c>
      <c r="F27" s="407"/>
      <c r="G27" s="407"/>
      <c r="H27" s="5"/>
      <c r="J27" s="335"/>
      <c r="S27" s="14"/>
    </row>
    <row r="28" spans="1:24" ht="24.9" hidden="1" customHeight="1" x14ac:dyDescent="0.25">
      <c r="E28" s="450"/>
      <c r="F28" s="451"/>
      <c r="G28" s="451"/>
      <c r="H28" s="451"/>
      <c r="I28" s="451"/>
      <c r="J28" s="452"/>
      <c r="S28" s="14"/>
    </row>
    <row r="29" spans="1:24" ht="24.9" hidden="1" customHeight="1" x14ac:dyDescent="0.25">
      <c r="E29" s="365"/>
      <c r="F29" s="374"/>
      <c r="G29" s="374"/>
      <c r="H29" s="374"/>
      <c r="I29" s="374"/>
      <c r="J29" s="366"/>
      <c r="S29" s="14"/>
    </row>
    <row r="30" spans="1:24" ht="12.75" hidden="1" customHeight="1" x14ac:dyDescent="0.25">
      <c r="E30" s="331"/>
      <c r="F30" s="331"/>
      <c r="G30" s="331"/>
      <c r="H30" s="331"/>
      <c r="I30" s="334"/>
      <c r="J30" s="333"/>
      <c r="S30" s="14"/>
    </row>
    <row r="31" spans="1:24" ht="24.9" customHeight="1" x14ac:dyDescent="0.25">
      <c r="I31" s="8"/>
      <c r="K31" s="8"/>
      <c r="L31" s="8"/>
      <c r="M31" s="43"/>
      <c r="N31" s="40"/>
      <c r="O31" s="40"/>
      <c r="P31" s="40"/>
      <c r="R31" s="8"/>
      <c r="X31" s="8"/>
    </row>
    <row r="32" spans="1:24" ht="12.75" customHeight="1" x14ac:dyDescent="0.25">
      <c r="E32" s="439" t="str">
        <f>QCI!H27</f>
        <v>Local:</v>
      </c>
      <c r="F32" s="439"/>
      <c r="G32" s="439"/>
      <c r="H32" s="368">
        <f>QCI!I27</f>
        <v>0</v>
      </c>
      <c r="I32" s="368"/>
      <c r="J32" s="368"/>
      <c r="K32" s="7"/>
      <c r="L32" s="7"/>
      <c r="M32" s="440" t="s">
        <v>144</v>
      </c>
      <c r="N32" s="440"/>
      <c r="O32" s="440"/>
      <c r="P32" s="440"/>
      <c r="R32" s="8"/>
      <c r="X32" s="7"/>
    </row>
    <row r="33" spans="5:24" ht="12.75" customHeight="1" x14ac:dyDescent="0.25">
      <c r="E33" s="439" t="str">
        <f>QCI!H28</f>
        <v>Data:</v>
      </c>
      <c r="F33" s="439"/>
      <c r="G33" s="439"/>
      <c r="H33" s="441">
        <f ca="1">QCI!I28</f>
        <v>45562</v>
      </c>
      <c r="I33" s="441"/>
      <c r="J33" s="441"/>
      <c r="K33" s="7"/>
      <c r="L33" s="7"/>
      <c r="M33" s="39" t="s">
        <v>142</v>
      </c>
      <c r="N33" s="368">
        <f>QCI!$D$27</f>
        <v>0</v>
      </c>
      <c r="O33" s="368"/>
      <c r="P33" s="368"/>
      <c r="R33" s="8"/>
      <c r="X33" s="7"/>
    </row>
    <row r="34" spans="5:24" ht="12.75" customHeight="1" x14ac:dyDescent="0.25">
      <c r="G34" s="9"/>
      <c r="H34" s="9"/>
      <c r="I34" s="8"/>
      <c r="J34" s="9"/>
      <c r="K34" s="8"/>
      <c r="L34" s="8"/>
      <c r="M34" s="39" t="s">
        <v>143</v>
      </c>
      <c r="N34" s="368">
        <f>QCI!$D$28</f>
        <v>0</v>
      </c>
      <c r="O34" s="368"/>
      <c r="P34" s="368"/>
      <c r="Q34" s="8"/>
      <c r="R34" s="8"/>
      <c r="X34" s="8"/>
    </row>
    <row r="35" spans="5:24" x14ac:dyDescent="0.25"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X35" s="9"/>
    </row>
    <row r="36" spans="5:24" x14ac:dyDescent="0.25"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X36" s="9"/>
    </row>
  </sheetData>
  <sheetProtection password="A71E" sheet="1" objects="1" scenarios="1"/>
  <mergeCells count="23">
    <mergeCell ref="E5:G6"/>
    <mergeCell ref="H20:H21"/>
    <mergeCell ref="H15:H19"/>
    <mergeCell ref="E8:E9"/>
    <mergeCell ref="F8:G9"/>
    <mergeCell ref="E20:E21"/>
    <mergeCell ref="E28:J29"/>
    <mergeCell ref="E27:G27"/>
    <mergeCell ref="F20:F21"/>
    <mergeCell ref="G20:G21"/>
    <mergeCell ref="N33:P33"/>
    <mergeCell ref="I20:I24"/>
    <mergeCell ref="K2:Q2"/>
    <mergeCell ref="K3:Q3"/>
    <mergeCell ref="I8:I9"/>
    <mergeCell ref="H10:H14"/>
    <mergeCell ref="H8:H9"/>
    <mergeCell ref="N34:P34"/>
    <mergeCell ref="E32:G32"/>
    <mergeCell ref="H32:J32"/>
    <mergeCell ref="M32:P32"/>
    <mergeCell ref="E33:G33"/>
    <mergeCell ref="H33:J33"/>
  </mergeCells>
  <phoneticPr fontId="41" type="noConversion"/>
  <conditionalFormatting sqref="J22:J24">
    <cfRule type="expression" dxfId="63" priority="1840" stopIfTrue="1">
      <formula>$F22="Meta"</formula>
    </cfRule>
  </conditionalFormatting>
  <conditionalFormatting sqref="D20:D24 S20:U24">
    <cfRule type="expression" dxfId="62" priority="1845" stopIfTrue="1">
      <formula>ISERROR($E20)</formula>
    </cfRule>
  </conditionalFormatting>
  <conditionalFormatting sqref="X8:X9 K8:R9">
    <cfRule type="expression" dxfId="61" priority="1876" stopIfTrue="1">
      <formula>AND(ISNUMBER(J$15),J$15&gt;=1)</formula>
    </cfRule>
  </conditionalFormatting>
  <conditionalFormatting sqref="X19 K19:R19">
    <cfRule type="expression" dxfId="60" priority="1508" stopIfTrue="1">
      <formula>AND(ISNUMBER(J$15),J$15&gt;=1)</formula>
    </cfRule>
  </conditionalFormatting>
  <conditionalFormatting sqref="X10:X14 K10:R14">
    <cfRule type="expression" dxfId="59" priority="1502" stopIfTrue="1">
      <formula>AND(ISNUMBER(J$15),J$15&gt;=1)</formula>
    </cfRule>
    <cfRule type="cellIs" dxfId="58" priority="1503" stopIfTrue="1" operator="lessThan">
      <formula>0</formula>
    </cfRule>
  </conditionalFormatting>
  <conditionalFormatting sqref="X15 K15:R15">
    <cfRule type="expression" dxfId="57" priority="1504" stopIfTrue="1">
      <formula>AND(ISNUMBER(J$15),J$15&gt;=1)</formula>
    </cfRule>
    <cfRule type="cellIs" dxfId="56" priority="1505" stopIfTrue="1" operator="notBetween">
      <formula>0</formula>
      <formula>1</formula>
    </cfRule>
  </conditionalFormatting>
  <conditionalFormatting sqref="E20:J20">
    <cfRule type="expression" dxfId="55" priority="2150" stopIfTrue="1">
      <formula>$I20=0</formula>
    </cfRule>
    <cfRule type="expression" dxfId="54" priority="2151" stopIfTrue="1">
      <formula>$B20=FALSE</formula>
    </cfRule>
    <cfRule type="expression" dxfId="53" priority="2152" stopIfTrue="1">
      <formula>$F20="Meta"</formula>
    </cfRule>
  </conditionalFormatting>
  <conditionalFormatting sqref="J21">
    <cfRule type="expression" dxfId="52" priority="2156" stopIfTrue="1">
      <formula>$I20=0</formula>
    </cfRule>
    <cfRule type="expression" dxfId="51" priority="2157" stopIfTrue="1">
      <formula>$B20=FALSE</formula>
    </cfRule>
    <cfRule type="expression" dxfId="50" priority="2158" stopIfTrue="1">
      <formula>$F1="Meta"</formula>
    </cfRule>
  </conditionalFormatting>
  <conditionalFormatting sqref="E21:H21">
    <cfRule type="expression" dxfId="49" priority="2159" stopIfTrue="1">
      <formula>$I21=0</formula>
    </cfRule>
    <cfRule type="expression" dxfId="48" priority="2160" stopIfTrue="1">
      <formula>$B24=FALSE</formula>
    </cfRule>
    <cfRule type="expression" dxfId="47" priority="2161" stopIfTrue="1">
      <formula>$F21="Meta"</formula>
    </cfRule>
  </conditionalFormatting>
  <conditionalFormatting sqref="J9">
    <cfRule type="expression" dxfId="46" priority="1846" stopIfTrue="1">
      <formula>OR(#REF!="(selecione)",#REF!="Sub-Meta")</formula>
    </cfRule>
  </conditionalFormatting>
  <conditionalFormatting sqref="E5:G6">
    <cfRule type="cellIs" dxfId="45" priority="1858" stopIfTrue="1" operator="notEqual">
      <formula>""</formula>
    </cfRule>
  </conditionalFormatting>
  <conditionalFormatting sqref="I6">
    <cfRule type="expression" dxfId="44" priority="1881" stopIfTrue="1">
      <formula>$B$6=1</formula>
    </cfRule>
  </conditionalFormatting>
  <conditionalFormatting sqref="X16 K16:R16">
    <cfRule type="expression" dxfId="43" priority="1506" stopIfTrue="1">
      <formula>AND(ISNUMBER(J$15),J$15&gt;=1)</formula>
    </cfRule>
    <cfRule type="cellIs" dxfId="42" priority="1507" stopIfTrue="1" operator="notBetween">
      <formula>0</formula>
      <formula>$I16</formula>
    </cfRule>
  </conditionalFormatting>
  <conditionalFormatting sqref="I25">
    <cfRule type="expression" dxfId="41" priority="1255" stopIfTrue="1">
      <formula>1=1</formula>
    </cfRule>
  </conditionalFormatting>
  <conditionalFormatting sqref="I19">
    <cfRule type="expression" dxfId="40" priority="89" stopIfTrue="1">
      <formula>1=1</formula>
    </cfRule>
  </conditionalFormatting>
  <conditionalFormatting sqref="X17:X18 K17:R18">
    <cfRule type="expression" dxfId="39" priority="2182" stopIfTrue="1">
      <formula>AND(ISNUMBER(J$15),J$15&gt;=1)</formula>
    </cfRule>
    <cfRule type="cellIs" dxfId="38" priority="2183" stopIfTrue="1" operator="notBetween">
      <formula>MAX($J17:J17)</formula>
      <formula>MAX($K$19,$I17)</formula>
    </cfRule>
  </conditionalFormatting>
  <conditionalFormatting sqref="X20 K20:R20">
    <cfRule type="expression" dxfId="37" priority="2184" stopIfTrue="1">
      <formula>OR(MAX($J20:J20)&gt;=1,$I20=0)</formula>
    </cfRule>
    <cfRule type="expression" dxfId="36" priority="2185" stopIfTrue="1">
      <formula>OR(AND(COLUMN()-COLUMN($J$8)&gt;1,K21&lt;J21),K21&gt;$I20)</formula>
    </cfRule>
    <cfRule type="expression" dxfId="35" priority="2186" stopIfTrue="1">
      <formula>$F20="Meta"</formula>
    </cfRule>
  </conditionalFormatting>
  <conditionalFormatting sqref="X21 K21:R21">
    <cfRule type="expression" dxfId="34" priority="2187" stopIfTrue="1">
      <formula>OR(MAX($J20:J20)&gt;=1,$I20=0)</formula>
    </cfRule>
    <cfRule type="expression" dxfId="33" priority="2188" stopIfTrue="1">
      <formula>$B20=FALSE</formula>
    </cfRule>
    <cfRule type="cellIs" dxfId="32" priority="2189" stopIfTrue="1" operator="notBetween">
      <formula>K24</formula>
      <formula>$I20</formula>
    </cfRule>
  </conditionalFormatting>
  <dataValidations count="5">
    <dataValidation type="date" operator="greaterThan" allowBlank="1" showInputMessage="1" showErrorMessage="1" promptTitle="Início Previsto:" prompt="Digite a data prevista para o início das obras." sqref="J6">
      <formula1>36526</formula1>
    </dataValidation>
    <dataValidation type="whole" operator="greaterThan" allowBlank="1" showInputMessage="1" showErrorMessage="1" sqref="J9">
      <formula1>0</formula1>
    </dataValidation>
    <dataValidation type="whole" operator="greaterThanOrEqual" allowBlank="1" showInputMessage="1" showErrorMessage="1" errorTitle="Erro de Valor" error="Digite somente números inteiros positivos." promptTitle="Qtde de Medições já realizadas:" prompt="Digite a quantidade de medições já realizadas para o CT/TC antes da Reprogramação." sqref="I6">
      <formula1>1</formula1>
    </dataValidation>
    <dataValidation type="decimal" allowBlank="1" showInputMessage="1" showErrorMessage="1" errorTitle="Erro de Entrada" error="O valor não deve ser menor que a parcela anterior e maior que o valor de investimento." promptTitle="Acumulado Investimento (R$)" prompt="Preencha com os Valores Financeiros de Investimento acumulados." sqref="X21 K21:R21">
      <formula1>IF(ISNUMBER(J21),J21,0)</formula1>
      <formula2>$I20</formula2>
    </dataValidation>
    <dataValidation type="decimal" allowBlank="1" showInputMessage="1" showErrorMessage="1" errorTitle="Erro de Valor" error="O Valor deve ser menor que o Valor de Investimento Executado e a Contrapartida Total." sqref="X17:X18 K17:R18">
      <formula1>IF(COLUMN()-COLUMN($J$8)&gt;1,J17,0)</formula1>
      <formula2>MIN(K$19,$I17)</formula2>
    </dataValidation>
  </dataValidations>
  <printOptions horizontalCentered="1"/>
  <pageMargins left="0.78740157480314965" right="0.78740157480314965" top="0.78740157480314965" bottom="0.78740157480314965" header="0.59055118110236227" footer="0.59055118110236227"/>
  <pageSetup paperSize="9" scale="56" fitToWidth="0" fitToHeight="0" orientation="landscape" r:id="rId1"/>
  <headerFooter alignWithMargins="0">
    <oddHeader>&amp;C&amp;14I</oddHeader>
    <oddFooter>&amp;R&amp;N&amp;L41.211 v009  micro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702" r:id="rId4" name="Option1">
              <controlPr locked="0" defaultSize="0" print="0" autoFill="0" autoLine="0" autoPict="0" altText="Parcela 1">
                <anchor moveWithCells="1">
                  <from>
                    <xdr:col>7</xdr:col>
                    <xdr:colOff>388620</xdr:colOff>
                    <xdr:row>4</xdr:row>
                    <xdr:rowOff>259080</xdr:rowOff>
                  </from>
                  <to>
                    <xdr:col>7</xdr:col>
                    <xdr:colOff>906780</xdr:colOff>
                    <xdr:row>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3" r:id="rId5" name="Option Button 319">
              <controlPr defaultSize="0" print="0" autoFill="0" autoLine="0" autoPict="0">
                <anchor moveWithCells="1">
                  <from>
                    <xdr:col>7</xdr:col>
                    <xdr:colOff>1005840</xdr:colOff>
                    <xdr:row>4</xdr:row>
                    <xdr:rowOff>243840</xdr:rowOff>
                  </from>
                  <to>
                    <xdr:col>7</xdr:col>
                    <xdr:colOff>1729740</xdr:colOff>
                    <xdr:row>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">
    <pageSetUpPr fitToPage="1"/>
  </sheetPr>
  <dimension ref="A1:AZ35"/>
  <sheetViews>
    <sheetView showGridLines="0" zoomScaleNormal="100" zoomScaleSheetLayoutView="100" workbookViewId="0">
      <pane xSplit="5" topLeftCell="F1" activePane="topRight" state="frozen"/>
      <selection activeCell="H31" sqref="H31"/>
      <selection pane="topRight" activeCell="A25" sqref="A25:E25"/>
    </sheetView>
  </sheetViews>
  <sheetFormatPr defaultColWidth="3.33203125" defaultRowHeight="13.2" x14ac:dyDescent="0.25"/>
  <cols>
    <col min="1" max="1" width="6.6640625" style="2" customWidth="1"/>
    <col min="2" max="2" width="9.6640625" style="2" customWidth="1"/>
    <col min="3" max="3" width="5.6640625" style="2" customWidth="1"/>
    <col min="4" max="4" width="31.6640625" style="2" customWidth="1"/>
    <col min="5" max="5" width="17.6640625" style="2" customWidth="1"/>
    <col min="6" max="6" width="12.6640625" style="2" customWidth="1"/>
    <col min="7" max="7" width="7.6640625" style="2" customWidth="1"/>
    <col min="8" max="8" width="16.6640625" style="2" customWidth="1"/>
    <col min="9" max="9" width="5.6640625" style="2" customWidth="1"/>
    <col min="10" max="10" width="15.6640625" style="2" customWidth="1"/>
    <col min="11" max="11" width="14.88671875" style="2" hidden="1" customWidth="1"/>
    <col min="12" max="12" width="13.5546875" style="2" hidden="1" customWidth="1"/>
    <col min="13" max="14" width="15.6640625" style="2" customWidth="1"/>
    <col min="15" max="15" width="14.88671875" style="2" hidden="1" customWidth="1"/>
    <col min="16" max="16" width="13.5546875" style="2" hidden="1" customWidth="1"/>
    <col min="17" max="17" width="15.6640625" style="2" customWidth="1"/>
    <col min="18" max="18" width="8.6640625" style="2" customWidth="1"/>
    <col min="19" max="19" width="3.33203125" style="2"/>
    <col min="20" max="20" width="10.6640625" style="2" hidden="1" customWidth="1"/>
    <col min="21" max="21" width="15.6640625" style="2" hidden="1" customWidth="1"/>
    <col min="22" max="22" width="13.6640625" style="2" hidden="1" customWidth="1"/>
    <col min="23" max="24" width="15.6640625" style="2" hidden="1" customWidth="1"/>
    <col min="25" max="25" width="3.33203125" style="2" hidden="1" customWidth="1"/>
    <col min="26" max="27" width="15.6640625" style="2" hidden="1" customWidth="1"/>
    <col min="28" max="28" width="3.33203125" hidden="1" customWidth="1"/>
    <col min="29" max="52" width="15.6640625" style="2" customWidth="1"/>
  </cols>
  <sheetData>
    <row r="1" spans="1:52" hidden="1" x14ac:dyDescent="0.25">
      <c r="B1" s="20"/>
      <c r="C1" s="20"/>
      <c r="K1" s="20"/>
      <c r="L1" s="20"/>
      <c r="M1" s="20"/>
      <c r="N1" s="20"/>
      <c r="O1" s="20"/>
      <c r="P1" s="20"/>
      <c r="Q1" s="20"/>
      <c r="T1" s="9" t="s">
        <v>222</v>
      </c>
      <c r="Z1" s="20"/>
      <c r="AA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</row>
    <row r="2" spans="1:52" x14ac:dyDescent="0.25">
      <c r="J2" s="14"/>
      <c r="Q2" s="502" t="str">
        <f>QCI!O2</f>
        <v>Grau de Sigilo</v>
      </c>
      <c r="R2" s="503"/>
    </row>
    <row r="3" spans="1:52" ht="12.75" customHeight="1" x14ac:dyDescent="0.25">
      <c r="A3" s="420" t="str">
        <f>CONCATENATE("RRE - RELATÓRIO RESUMO DO EMPREENDIMENTO - ",IF(RREMode="RRET","TOMADOR","CAIXA"))</f>
        <v>RRE - RELATÓRIO RESUMO DO EMPREENDIMENTO - TOMADOR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54"/>
      <c r="P3" s="54"/>
      <c r="Q3" s="504" t="str">
        <f>QCI!O3</f>
        <v>#PUBLICO</v>
      </c>
      <c r="R3" s="505"/>
    </row>
    <row r="4" spans="1:52" ht="99.9" customHeight="1" x14ac:dyDescent="0.25">
      <c r="T4" s="27"/>
      <c r="U4" s="27"/>
      <c r="V4" s="27"/>
      <c r="W4" s="168" t="s">
        <v>166</v>
      </c>
      <c r="X4" s="167" t="s">
        <v>167</v>
      </c>
      <c r="Z4" s="184" t="s">
        <v>199</v>
      </c>
      <c r="AA4" s="184" t="s">
        <v>199</v>
      </c>
      <c r="AB4" s="185"/>
      <c r="AC4" s="184" t="s">
        <v>199</v>
      </c>
      <c r="AD4" s="184" t="s">
        <v>199</v>
      </c>
      <c r="AE4" s="184" t="s">
        <v>199</v>
      </c>
      <c r="AF4" s="184" t="s">
        <v>199</v>
      </c>
      <c r="AG4" s="184" t="s">
        <v>199</v>
      </c>
      <c r="AH4" s="184" t="s">
        <v>199</v>
      </c>
      <c r="AI4" s="184" t="s">
        <v>199</v>
      </c>
      <c r="AJ4" s="184" t="s">
        <v>199</v>
      </c>
      <c r="AK4" s="184" t="s">
        <v>199</v>
      </c>
      <c r="AL4" s="184" t="s">
        <v>199</v>
      </c>
      <c r="AM4" s="184" t="s">
        <v>199</v>
      </c>
      <c r="AN4" s="184" t="s">
        <v>199</v>
      </c>
      <c r="AO4" s="184" t="s">
        <v>199</v>
      </c>
      <c r="AP4" s="184" t="s">
        <v>199</v>
      </c>
      <c r="AQ4" s="184" t="s">
        <v>199</v>
      </c>
      <c r="AR4" s="184" t="s">
        <v>199</v>
      </c>
      <c r="AS4" s="184" t="s">
        <v>199</v>
      </c>
      <c r="AT4" s="184" t="s">
        <v>199</v>
      </c>
      <c r="AU4" s="184" t="s">
        <v>199</v>
      </c>
      <c r="AV4" s="184" t="s">
        <v>199</v>
      </c>
      <c r="AW4" s="184" t="s">
        <v>199</v>
      </c>
      <c r="AX4" s="184" t="s">
        <v>199</v>
      </c>
      <c r="AY4" s="184" t="s">
        <v>199</v>
      </c>
      <c r="AZ4" s="184" t="s">
        <v>199</v>
      </c>
    </row>
    <row r="5" spans="1:52" ht="12.75" customHeight="1" x14ac:dyDescent="0.25">
      <c r="D5" s="131" t="s">
        <v>161</v>
      </c>
      <c r="E5" s="508" t="s">
        <v>160</v>
      </c>
      <c r="F5" s="509"/>
      <c r="H5" s="536" t="s">
        <v>194</v>
      </c>
      <c r="I5" s="533">
        <v>1</v>
      </c>
      <c r="J5" s="490" t="s">
        <v>179</v>
      </c>
      <c r="K5" s="64"/>
      <c r="M5" s="128" t="str">
        <f>CRONO!$J$11</f>
        <v>Repasse (R$)</v>
      </c>
      <c r="N5" s="514" t="s">
        <v>218</v>
      </c>
      <c r="O5" s="515"/>
      <c r="P5" s="64"/>
      <c r="Q5" s="324"/>
      <c r="T5" s="27"/>
      <c r="U5" s="27"/>
      <c r="V5" s="169" t="s">
        <v>2</v>
      </c>
      <c r="W5" s="70">
        <f ca="1">W8-W7-W6</f>
        <v>0</v>
      </c>
      <c r="X5" s="70">
        <f ca="1">X8-X7-X6</f>
        <v>0</v>
      </c>
      <c r="Z5" s="184"/>
      <c r="AA5" s="184"/>
      <c r="AB5" s="185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</row>
    <row r="6" spans="1:52" ht="12.75" customHeight="1" x14ac:dyDescent="0.25">
      <c r="D6" s="61" t="str">
        <f ca="1">IF(F6="-","-",IF(R12&lt;F6,"Atrasada",IF(R12&gt;F6,"Adiantada","Normal")))</f>
        <v>Atrasada</v>
      </c>
      <c r="E6" s="130">
        <f ca="1">DATE(YEAR(J23),MONTH(J23),1)</f>
        <v>45536</v>
      </c>
      <c r="F6" s="205">
        <f ca="1">IF($E$6&lt;=DATE(YEAR(CRONO!$J$6),MONTH(CRONO!$J$6),1),"-",IF(COUNTIF(CRONO!$K$9:$S$9,RRE!$E$6)=0,1,HLOOKUP(RRE!$E$6,CRONO!$K$9:$S$16,7)))</f>
        <v>1</v>
      </c>
      <c r="G6" s="10"/>
      <c r="H6" s="537"/>
      <c r="I6" s="533"/>
      <c r="J6" s="425"/>
      <c r="K6" s="64"/>
      <c r="M6" s="129">
        <f ca="1">QCI!L7</f>
        <v>0</v>
      </c>
      <c r="N6" s="540">
        <f ca="1">QCI!M7</f>
        <v>0</v>
      </c>
      <c r="O6" s="541"/>
      <c r="P6" s="64"/>
      <c r="Q6" s="324"/>
      <c r="T6" s="27"/>
      <c r="U6" s="27"/>
      <c r="V6" s="169" t="s">
        <v>181</v>
      </c>
      <c r="W6" s="70">
        <f ca="1">ROUND(SUMIF($V$15:$V$17,TRUE,$O$15:$O$17),2)</f>
        <v>0</v>
      </c>
      <c r="X6" s="70">
        <f ca="1">IF(OR($Q$15&lt;$M$15,$M13&gt;$W6),MIN($M13,$J13),MIN($W6,$N$15-$N$14+$M13))</f>
        <v>0</v>
      </c>
      <c r="Z6" s="186">
        <f ca="1">MIN($J$13,$Q$15-Z$14)</f>
        <v>0</v>
      </c>
      <c r="AA6" s="186">
        <f ca="1">MIN($J$13,$Q$15-AA$14)</f>
        <v>0</v>
      </c>
      <c r="AB6" s="185"/>
      <c r="AC6" s="186">
        <f t="shared" ref="AC6:AZ6" ca="1" si="0">MIN($J$13,$Q$15-AC$14)</f>
        <v>0</v>
      </c>
      <c r="AD6" s="186">
        <f t="shared" ca="1" si="0"/>
        <v>0</v>
      </c>
      <c r="AE6" s="186">
        <f t="shared" ca="1" si="0"/>
        <v>0</v>
      </c>
      <c r="AF6" s="186">
        <f t="shared" ca="1" si="0"/>
        <v>0</v>
      </c>
      <c r="AG6" s="186">
        <f t="shared" ca="1" si="0"/>
        <v>0</v>
      </c>
      <c r="AH6" s="186">
        <f t="shared" ca="1" si="0"/>
        <v>0</v>
      </c>
      <c r="AI6" s="186">
        <f t="shared" ca="1" si="0"/>
        <v>0</v>
      </c>
      <c r="AJ6" s="186">
        <f t="shared" ca="1" si="0"/>
        <v>0</v>
      </c>
      <c r="AK6" s="186">
        <f t="shared" ca="1" si="0"/>
        <v>0</v>
      </c>
      <c r="AL6" s="186">
        <f t="shared" ca="1" si="0"/>
        <v>0</v>
      </c>
      <c r="AM6" s="186">
        <f t="shared" ca="1" si="0"/>
        <v>0</v>
      </c>
      <c r="AN6" s="186">
        <f t="shared" ca="1" si="0"/>
        <v>0</v>
      </c>
      <c r="AO6" s="186">
        <f t="shared" ca="1" si="0"/>
        <v>0</v>
      </c>
      <c r="AP6" s="186">
        <f t="shared" ca="1" si="0"/>
        <v>0</v>
      </c>
      <c r="AQ6" s="186">
        <f t="shared" ca="1" si="0"/>
        <v>0</v>
      </c>
      <c r="AR6" s="186">
        <f t="shared" ca="1" si="0"/>
        <v>0</v>
      </c>
      <c r="AS6" s="186">
        <f t="shared" ca="1" si="0"/>
        <v>0</v>
      </c>
      <c r="AT6" s="186">
        <f t="shared" ca="1" si="0"/>
        <v>0</v>
      </c>
      <c r="AU6" s="186">
        <f t="shared" ca="1" si="0"/>
        <v>0</v>
      </c>
      <c r="AV6" s="186">
        <f t="shared" ca="1" si="0"/>
        <v>0</v>
      </c>
      <c r="AW6" s="186">
        <f t="shared" ca="1" si="0"/>
        <v>0</v>
      </c>
      <c r="AX6" s="186">
        <f t="shared" ca="1" si="0"/>
        <v>0</v>
      </c>
      <c r="AY6" s="186">
        <f t="shared" ca="1" si="0"/>
        <v>0</v>
      </c>
      <c r="AZ6" s="186">
        <f t="shared" ca="1" si="0"/>
        <v>0</v>
      </c>
    </row>
    <row r="7" spans="1:52" ht="9.9" customHeight="1" x14ac:dyDescent="0.25">
      <c r="A7" s="63"/>
      <c r="B7" s="63"/>
      <c r="C7" s="68"/>
      <c r="D7" s="64"/>
      <c r="E7" s="65"/>
      <c r="F7" s="65"/>
      <c r="G7" s="65"/>
      <c r="H7" s="518" t="str">
        <f ca="1">"Acumulado Anterior:  "&amp;TEXT(M15/(J15+10^-12),"0,00%")</f>
        <v>Acumulado Anterior:  0,00%</v>
      </c>
      <c r="I7" s="518"/>
      <c r="J7" s="518"/>
      <c r="K7" s="18"/>
      <c r="L7" s="18"/>
      <c r="O7" s="18"/>
      <c r="P7" s="18"/>
      <c r="T7" s="27"/>
      <c r="U7" s="27"/>
      <c r="V7" s="169" t="str">
        <f>$H$14</f>
        <v>Outros</v>
      </c>
      <c r="W7" s="70">
        <f ca="1">ROUND(SUMIF($V$15:$V$17,TRUE,$P$15:$P$17),2)</f>
        <v>0</v>
      </c>
      <c r="X7" s="70">
        <f ca="1">IF(OR($Q$15&lt;$M$15,$M14&gt;$W7),MIN($M14,$J14),MIN($W7,$N$15+$M14))</f>
        <v>0</v>
      </c>
      <c r="Z7" s="186">
        <f ca="1">MIN($J$14,$Q$15-Z$13)</f>
        <v>0</v>
      </c>
      <c r="AA7" s="186">
        <f ca="1">MIN($J$14,$Q$15-AA$13)</f>
        <v>0</v>
      </c>
      <c r="AB7" s="185"/>
      <c r="AC7" s="186">
        <f t="shared" ref="AC7:AZ7" ca="1" si="1">MIN($J$14,$Q$15-AC$13)</f>
        <v>0</v>
      </c>
      <c r="AD7" s="186">
        <f t="shared" ca="1" si="1"/>
        <v>0</v>
      </c>
      <c r="AE7" s="186">
        <f t="shared" ca="1" si="1"/>
        <v>0</v>
      </c>
      <c r="AF7" s="186">
        <f t="shared" ca="1" si="1"/>
        <v>0</v>
      </c>
      <c r="AG7" s="186">
        <f t="shared" ca="1" si="1"/>
        <v>0</v>
      </c>
      <c r="AH7" s="186">
        <f t="shared" ca="1" si="1"/>
        <v>0</v>
      </c>
      <c r="AI7" s="186">
        <f t="shared" ca="1" si="1"/>
        <v>0</v>
      </c>
      <c r="AJ7" s="186">
        <f t="shared" ca="1" si="1"/>
        <v>0</v>
      </c>
      <c r="AK7" s="186">
        <f t="shared" ca="1" si="1"/>
        <v>0</v>
      </c>
      <c r="AL7" s="186">
        <f t="shared" ca="1" si="1"/>
        <v>0</v>
      </c>
      <c r="AM7" s="186">
        <f t="shared" ca="1" si="1"/>
        <v>0</v>
      </c>
      <c r="AN7" s="186">
        <f t="shared" ca="1" si="1"/>
        <v>0</v>
      </c>
      <c r="AO7" s="186">
        <f t="shared" ca="1" si="1"/>
        <v>0</v>
      </c>
      <c r="AP7" s="186">
        <f t="shared" ca="1" si="1"/>
        <v>0</v>
      </c>
      <c r="AQ7" s="186">
        <f t="shared" ca="1" si="1"/>
        <v>0</v>
      </c>
      <c r="AR7" s="186">
        <f t="shared" ca="1" si="1"/>
        <v>0</v>
      </c>
      <c r="AS7" s="186">
        <f t="shared" ca="1" si="1"/>
        <v>0</v>
      </c>
      <c r="AT7" s="186">
        <f t="shared" ca="1" si="1"/>
        <v>0</v>
      </c>
      <c r="AU7" s="186">
        <f t="shared" ca="1" si="1"/>
        <v>0</v>
      </c>
      <c r="AV7" s="186">
        <f t="shared" ca="1" si="1"/>
        <v>0</v>
      </c>
      <c r="AW7" s="186">
        <f t="shared" ca="1" si="1"/>
        <v>0</v>
      </c>
      <c r="AX7" s="186">
        <f t="shared" ca="1" si="1"/>
        <v>0</v>
      </c>
      <c r="AY7" s="186">
        <f t="shared" ca="1" si="1"/>
        <v>0</v>
      </c>
      <c r="AZ7" s="186">
        <f t="shared" ca="1" si="1"/>
        <v>0</v>
      </c>
    </row>
    <row r="8" spans="1:52" ht="12.75" customHeight="1" x14ac:dyDescent="0.25">
      <c r="A8" s="63"/>
      <c r="B8" s="63"/>
      <c r="C8" s="68"/>
      <c r="D8" s="64"/>
      <c r="G8" s="65"/>
      <c r="H8" s="519"/>
      <c r="I8" s="519"/>
      <c r="J8" s="519"/>
      <c r="K8" s="18"/>
      <c r="L8" s="18"/>
      <c r="M8" s="421" t="str">
        <f>IF(RREMode="RRET","Valores Medidos (R$)","Valores Aferidos (R$)")</f>
        <v>Valores Medidos (R$)</v>
      </c>
      <c r="N8" s="421"/>
      <c r="O8" s="421"/>
      <c r="P8" s="421"/>
      <c r="Q8" s="491"/>
      <c r="R8" s="489" t="s">
        <v>219</v>
      </c>
      <c r="T8" s="27"/>
      <c r="U8" s="27"/>
      <c r="V8" s="169" t="s">
        <v>80</v>
      </c>
      <c r="W8" s="70">
        <f ca="1">Q15</f>
        <v>0</v>
      </c>
      <c r="X8" s="70">
        <f ca="1">W8</f>
        <v>0</v>
      </c>
      <c r="Z8" s="476" t="s">
        <v>195</v>
      </c>
      <c r="AA8" s="476"/>
      <c r="AC8" s="474" t="s">
        <v>198</v>
      </c>
      <c r="AD8" s="475"/>
      <c r="AE8" s="475"/>
      <c r="AF8" s="475" t="s">
        <v>198</v>
      </c>
      <c r="AG8" s="475"/>
      <c r="AH8" s="475"/>
      <c r="AI8" s="475" t="s">
        <v>198</v>
      </c>
      <c r="AJ8" s="475"/>
      <c r="AK8" s="475"/>
      <c r="AL8" s="475" t="s">
        <v>198</v>
      </c>
      <c r="AM8" s="475"/>
      <c r="AN8" s="475"/>
      <c r="AO8" s="475" t="s">
        <v>198</v>
      </c>
      <c r="AP8" s="475"/>
      <c r="AQ8" s="475"/>
      <c r="AR8" s="475" t="s">
        <v>198</v>
      </c>
      <c r="AS8" s="475"/>
      <c r="AT8" s="475"/>
      <c r="AU8" s="475" t="s">
        <v>198</v>
      </c>
      <c r="AV8" s="475"/>
      <c r="AW8" s="477"/>
      <c r="AX8" s="477" t="s">
        <v>198</v>
      </c>
      <c r="AY8" s="478"/>
      <c r="AZ8" s="479"/>
    </row>
    <row r="9" spans="1:52" ht="12.75" customHeight="1" x14ac:dyDescent="0.25">
      <c r="A9" s="426" t="s">
        <v>1</v>
      </c>
      <c r="B9" s="404" t="s">
        <v>97</v>
      </c>
      <c r="C9" s="411"/>
      <c r="D9" s="495" t="s">
        <v>227</v>
      </c>
      <c r="E9" s="426" t="s">
        <v>82</v>
      </c>
      <c r="F9" s="496" t="s">
        <v>206</v>
      </c>
      <c r="G9" s="498" t="s">
        <v>177</v>
      </c>
      <c r="H9" s="506" t="s">
        <v>178</v>
      </c>
      <c r="I9" s="506" t="s">
        <v>220</v>
      </c>
      <c r="J9" s="92" t="s">
        <v>152</v>
      </c>
      <c r="K9" s="484" t="s">
        <v>117</v>
      </c>
      <c r="L9" s="484"/>
      <c r="M9" s="463" t="s">
        <v>117</v>
      </c>
      <c r="N9" s="528" t="s">
        <v>118</v>
      </c>
      <c r="O9" s="484" t="s">
        <v>159</v>
      </c>
      <c r="P9" s="484"/>
      <c r="Q9" s="526" t="s">
        <v>114</v>
      </c>
      <c r="R9" s="489"/>
      <c r="S9" s="10"/>
      <c r="T9" s="492" t="s">
        <v>155</v>
      </c>
      <c r="U9" s="493" t="s">
        <v>129</v>
      </c>
      <c r="Y9" s="10"/>
      <c r="Z9" s="485" t="s">
        <v>193</v>
      </c>
      <c r="AA9" s="482" t="s">
        <v>192</v>
      </c>
      <c r="AC9" s="487">
        <v>1</v>
      </c>
      <c r="AD9" s="472">
        <f ca="1">OFFSET(AD9,0,-1)+1</f>
        <v>2</v>
      </c>
      <c r="AE9" s="472">
        <f t="shared" ref="AE9:AY9" ca="1" si="2">OFFSET(AE9,0,-1)+1</f>
        <v>3</v>
      </c>
      <c r="AF9" s="472">
        <f t="shared" ca="1" si="2"/>
        <v>4</v>
      </c>
      <c r="AG9" s="472">
        <f t="shared" ca="1" si="2"/>
        <v>5</v>
      </c>
      <c r="AH9" s="472">
        <f t="shared" ca="1" si="2"/>
        <v>6</v>
      </c>
      <c r="AI9" s="472">
        <f t="shared" ca="1" si="2"/>
        <v>7</v>
      </c>
      <c r="AJ9" s="472">
        <f t="shared" ca="1" si="2"/>
        <v>8</v>
      </c>
      <c r="AK9" s="472">
        <f t="shared" ca="1" si="2"/>
        <v>9</v>
      </c>
      <c r="AL9" s="472">
        <f t="shared" ca="1" si="2"/>
        <v>10</v>
      </c>
      <c r="AM9" s="472">
        <f t="shared" ca="1" si="2"/>
        <v>11</v>
      </c>
      <c r="AN9" s="472">
        <f t="shared" ca="1" si="2"/>
        <v>12</v>
      </c>
      <c r="AO9" s="472">
        <f t="shared" ca="1" si="2"/>
        <v>13</v>
      </c>
      <c r="AP9" s="472">
        <f t="shared" ca="1" si="2"/>
        <v>14</v>
      </c>
      <c r="AQ9" s="472">
        <f t="shared" ca="1" si="2"/>
        <v>15</v>
      </c>
      <c r="AR9" s="472">
        <f t="shared" ca="1" si="2"/>
        <v>16</v>
      </c>
      <c r="AS9" s="472">
        <f t="shared" ca="1" si="2"/>
        <v>17</v>
      </c>
      <c r="AT9" s="472">
        <f t="shared" ca="1" si="2"/>
        <v>18</v>
      </c>
      <c r="AU9" s="472">
        <f t="shared" ca="1" si="2"/>
        <v>19</v>
      </c>
      <c r="AV9" s="472">
        <f t="shared" ca="1" si="2"/>
        <v>20</v>
      </c>
      <c r="AW9" s="472">
        <f t="shared" ca="1" si="2"/>
        <v>21</v>
      </c>
      <c r="AX9" s="472">
        <f t="shared" ca="1" si="2"/>
        <v>22</v>
      </c>
      <c r="AY9" s="472">
        <f t="shared" ca="1" si="2"/>
        <v>23</v>
      </c>
      <c r="AZ9" s="480">
        <f ca="1">OFFSET(AZ9,0,-1)+1</f>
        <v>24</v>
      </c>
    </row>
    <row r="10" spans="1:52" ht="13.5" customHeight="1" x14ac:dyDescent="0.25">
      <c r="A10" s="426"/>
      <c r="B10" s="404"/>
      <c r="C10" s="411"/>
      <c r="D10" s="426"/>
      <c r="E10" s="426"/>
      <c r="F10" s="497"/>
      <c r="G10" s="499"/>
      <c r="H10" s="532"/>
      <c r="I10" s="507"/>
      <c r="J10" s="92"/>
      <c r="K10" s="484"/>
      <c r="L10" s="484"/>
      <c r="M10" s="463"/>
      <c r="N10" s="528"/>
      <c r="O10" s="484"/>
      <c r="P10" s="484"/>
      <c r="Q10" s="526"/>
      <c r="R10" s="489"/>
      <c r="S10" s="10"/>
      <c r="T10" s="492"/>
      <c r="U10" s="493"/>
      <c r="V10" s="166" t="s">
        <v>108</v>
      </c>
      <c r="W10" s="69" t="s">
        <v>196</v>
      </c>
      <c r="X10" s="69" t="s">
        <v>197</v>
      </c>
      <c r="Y10" s="10"/>
      <c r="Z10" s="486"/>
      <c r="AA10" s="483"/>
      <c r="AC10" s="488"/>
      <c r="AD10" s="473"/>
      <c r="AE10" s="473"/>
      <c r="AF10" s="473"/>
      <c r="AG10" s="473"/>
      <c r="AH10" s="473"/>
      <c r="AI10" s="473"/>
      <c r="AJ10" s="473"/>
      <c r="AK10" s="473"/>
      <c r="AL10" s="473"/>
      <c r="AM10" s="473"/>
      <c r="AN10" s="473"/>
      <c r="AO10" s="473"/>
      <c r="AP10" s="473"/>
      <c r="AQ10" s="473"/>
      <c r="AR10" s="473"/>
      <c r="AS10" s="473"/>
      <c r="AT10" s="473"/>
      <c r="AU10" s="473"/>
      <c r="AV10" s="473"/>
      <c r="AW10" s="473"/>
      <c r="AX10" s="473"/>
      <c r="AY10" s="473"/>
      <c r="AZ10" s="481"/>
    </row>
    <row r="11" spans="1:52" hidden="1" x14ac:dyDescent="0.25">
      <c r="A11" s="114">
        <f ca="1">OFFSET(QCI!B$15,ROW(A11)-ROW(A$15),0)</f>
        <v>1</v>
      </c>
      <c r="B11" s="104" t="str">
        <f ca="1">OFFSET(QCI!C$15,ROW(B11)-ROW(B$15),0)</f>
        <v>Meta</v>
      </c>
      <c r="C11" s="105" t="str">
        <f ca="1">OFFSET(QCI!D$15,ROW(C11)-ROW(C$15),0)</f>
        <v>1.</v>
      </c>
      <c r="D11" s="115">
        <f ca="1">OFFSET(QCI!G$15,ROW(F11)-ROW(F$15),0)</f>
        <v>0</v>
      </c>
      <c r="E11" s="116">
        <f ca="1">IF($V11,OFFSET(QCI!H$15,ROW(G11)-ROW(G$15),0),"")</f>
        <v>0</v>
      </c>
      <c r="F11" s="197">
        <f ca="1">IF($B11="Sub-Meta","",OFFSET(QCI!I$15,ROW(H11)-ROW(H$15),0))</f>
        <v>0</v>
      </c>
      <c r="G11" s="328" t="str">
        <f ca="1">IF(ISERROR(OFFSET(QCI!J$15,ROW(J11)-ROW(J$15),0)),"",OFFSET(QCI!J$15,ROW(J11)-ROW(J$15),0))</f>
        <v/>
      </c>
      <c r="H11" s="329">
        <f ca="1">IF($V11,OFFSET(QCI!K$15,ROW(M11)-ROW(M$15),0),"")</f>
        <v>0</v>
      </c>
      <c r="I11" s="327"/>
      <c r="J11" s="317">
        <f ca="1">OFFSET(QCI!O$15,ROW(AB11)-ROW(AB$15),0)</f>
        <v>0</v>
      </c>
      <c r="K11" s="124">
        <f ca="1">ROUND(M11/($J11+10^-12)*OFFSET(QCI!$M$15,ROW(K11)-ROW(K$15),0),2)</f>
        <v>0</v>
      </c>
      <c r="L11" s="124">
        <f ca="1">ROUND(M11/($J11+10^-12)*OFFSET(QCI!$N$15,ROW(L11)-ROW(L$15),0),2)</f>
        <v>0</v>
      </c>
      <c r="M11" s="242">
        <f ca="1">IF($V11,IF(OR($E11="Licitado / em execução",$E11="Concluído"),IF(RREMode="RREV",ROUND(Z11,2),W11),0),SUM(OFFSET(M11,1,0,$T11)))</f>
        <v>0</v>
      </c>
      <c r="N11" s="316">
        <f t="shared" ref="N11:N16" ca="1" si="3">ROUND(Q11,2)-ROUND(M11,2)</f>
        <v>0</v>
      </c>
      <c r="O11" s="243">
        <f ca="1">ROUND(Q11/($J11+10^-12)*OFFSET(QCI!$M$15,ROW(O11)-ROW(O$15),0),2)</f>
        <v>0</v>
      </c>
      <c r="P11" s="243">
        <f ca="1">ROUND(Q11/($J11+10^-12)*OFFSET(QCI!$N$15,ROW(P11)-ROW(P$15),0),2)</f>
        <v>0</v>
      </c>
      <c r="Q11" s="244">
        <f ca="1">IF($V11,IF(OR($E11="Licitado / em execução",$E11="Concluído"),IF(RREMode="RREV",ROUND(AA11,2),X11),0),SUM(OFFSET(Q11,1,0,$T11)))</f>
        <v>0</v>
      </c>
      <c r="R11" s="315">
        <f ca="1">Q11/($J11+10^-12)</f>
        <v>0</v>
      </c>
      <c r="S11" s="32"/>
      <c r="T11" s="72">
        <f ca="1">OFFSET(QCI!X$15,ROW(X11)-ROW(W$15),0)</f>
        <v>0</v>
      </c>
      <c r="U11" s="74">
        <f ca="1">IF(AND(COUNTIF($H$9:$H11,$H11)=1,$H11&lt;&gt;"Adm. Direta",SUMIF($H$9:$H$17,$H11,$N$9:$N$17)&gt;0,$V11),OFFSET(U11,-1,0)+1,OFFSET(U11,-1,0))</f>
        <v>0</v>
      </c>
      <c r="V11" s="72" t="b">
        <f ca="1">OFFSET(QCI!Y$15,ROW(W11)-ROW(X$15),0)</f>
        <v>1</v>
      </c>
      <c r="W11" s="73">
        <f ca="1">IF(AND(COUNTA(OFFSET($AC11,0,0,1,mcol-1))&gt;0,mcol&gt;1),ROUND((INDEX(OFFSET($AC11,0,0,1,mcol-1),MATCH(9.99999999999999E+307,OFFSET($AC11,0,0,1,mcol-1)))),2),0)</f>
        <v>0</v>
      </c>
      <c r="X11" s="73">
        <f ca="1">IF(AND(COUNTA(OFFSET($AC11,0,0,1,mcol))&gt;0,mcol&gt;0),ROUND((INDEX(OFFSET($AC11,0,0,1,mcol),MATCH(9.99999999999999E+307,OFFSET($AC11,0,0,1,mcol)))),2),0)</f>
        <v>0</v>
      </c>
      <c r="Y11" s="13"/>
      <c r="Z11" s="171"/>
      <c r="AA11" s="172"/>
      <c r="AC11" s="321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322"/>
      <c r="AR11" s="322"/>
      <c r="AS11" s="322"/>
      <c r="AT11" s="322"/>
      <c r="AU11" s="322"/>
      <c r="AV11" s="322"/>
      <c r="AW11" s="322"/>
      <c r="AX11" s="322"/>
      <c r="AY11" s="322"/>
      <c r="AZ11" s="323"/>
    </row>
    <row r="12" spans="1:52" ht="12" customHeight="1" x14ac:dyDescent="0.25">
      <c r="A12" s="107"/>
      <c r="B12" s="510" t="s">
        <v>83</v>
      </c>
      <c r="C12" s="391"/>
      <c r="D12" s="107"/>
      <c r="E12" s="117"/>
      <c r="F12" s="118"/>
      <c r="G12" s="125"/>
      <c r="H12" s="534" t="str">
        <f>QCI!L9</f>
        <v>Repasse</v>
      </c>
      <c r="I12" s="535"/>
      <c r="J12" s="250">
        <f ca="1">QCI!L15</f>
        <v>668500</v>
      </c>
      <c r="K12" s="484" t="str">
        <f>QCI!$M$9</f>
        <v>Contrapartida Financeira</v>
      </c>
      <c r="L12" s="484" t="str">
        <f>QCI!$N$9</f>
        <v>Outros</v>
      </c>
      <c r="M12" s="252">
        <f ca="1">M15-M14-M13</f>
        <v>0</v>
      </c>
      <c r="N12" s="253">
        <f t="shared" ca="1" si="3"/>
        <v>0</v>
      </c>
      <c r="O12" s="484" t="str">
        <f>QCI!$M$9</f>
        <v>Contrapartida Financeira</v>
      </c>
      <c r="P12" s="484" t="str">
        <f>QCI!$N$9</f>
        <v>Outros</v>
      </c>
      <c r="Q12" s="250">
        <f ca="1">Q15-Q14-Q13</f>
        <v>0</v>
      </c>
      <c r="R12" s="529">
        <f ca="1">Q15/(J15+10^-12)</f>
        <v>0</v>
      </c>
      <c r="S12" s="4"/>
      <c r="T12" s="19"/>
      <c r="U12" s="71"/>
      <c r="Y12" s="4"/>
      <c r="Z12" s="187"/>
      <c r="AA12" s="188"/>
      <c r="AC12" s="187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8"/>
    </row>
    <row r="13" spans="1:52" ht="12" customHeight="1" x14ac:dyDescent="0.25">
      <c r="A13" s="110"/>
      <c r="B13" s="511"/>
      <c r="C13" s="512"/>
      <c r="D13" s="110"/>
      <c r="E13" s="119"/>
      <c r="F13" s="120"/>
      <c r="G13" s="126"/>
      <c r="H13" s="516" t="s">
        <v>181</v>
      </c>
      <c r="I13" s="517"/>
      <c r="J13" s="251">
        <f ca="1">QCI!M15</f>
        <v>333429.02</v>
      </c>
      <c r="K13" s="484"/>
      <c r="L13" s="484"/>
      <c r="M13" s="254">
        <f ca="1">IF(AND(RREMode="RREV",Z13&lt;&gt;""),ROUND(Z13,2),IF(W13&lt;&gt;"",W13,ROUND(SUMIF($V$15:$V$17,TRUE,K$15:K$17),2)))</f>
        <v>0</v>
      </c>
      <c r="N13" s="255">
        <f t="shared" ca="1" si="3"/>
        <v>0</v>
      </c>
      <c r="O13" s="484"/>
      <c r="P13" s="484"/>
      <c r="Q13" s="251">
        <f ca="1">IF(AND(RREMode="RREV",$AA13&lt;&gt;""),ROUND(AA13,2),IF(X13&lt;&gt;"",X13,X6))</f>
        <v>0</v>
      </c>
      <c r="R13" s="530"/>
      <c r="S13" s="4"/>
      <c r="T13" s="19"/>
      <c r="U13" s="71"/>
      <c r="V13" s="169" t="str">
        <f>H13</f>
        <v>CP. Financ.</v>
      </c>
      <c r="W13" s="170" t="str">
        <f ca="1">IF(COUNTIF($AC$9:$BA$9,$I$5-1)=0,"",IF(INDEX($AC13:$BA13,MATCH($I$5-1,$AC$9:$BA$9,0))="","",INDEX($AC13:$BA13,MATCH($I$5-1,$AC$9:$BA$9,0))))</f>
        <v/>
      </c>
      <c r="X13" s="170" t="str">
        <f ca="1">IF(COUNTIF($AC$9:$BA$9,$I$5)=0,"",IF(INDEX($AC13:$BA13,MATCH($I$5,$AC$9:$BA$9,0))="","",INDEX($AC13:$BA13,MATCH($I$5,$AC$9:$BA$9,0))))</f>
        <v/>
      </c>
      <c r="Y13" s="4"/>
      <c r="Z13" s="176"/>
      <c r="AA13" s="177"/>
      <c r="AC13" s="180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77"/>
    </row>
    <row r="14" spans="1:52" ht="12" customHeight="1" x14ac:dyDescent="0.25">
      <c r="A14" s="110"/>
      <c r="B14" s="511"/>
      <c r="C14" s="512"/>
      <c r="D14" s="110"/>
      <c r="E14" s="119"/>
      <c r="F14" s="120"/>
      <c r="G14" s="126"/>
      <c r="H14" s="524" t="str">
        <f>IF(QCI!N9="Outros","Outros","CP. Física")</f>
        <v>Outros</v>
      </c>
      <c r="I14" s="525"/>
      <c r="J14" s="251">
        <f ca="1">QCI!N15</f>
        <v>0</v>
      </c>
      <c r="K14" s="484"/>
      <c r="L14" s="484"/>
      <c r="M14" s="255">
        <f ca="1">IF(AND(RREMode="RREV",Z14&lt;&gt;""),ROUND(Z14,2),IF(W14&lt;&gt;"",W14,ROUND(SUMIF($V$15:$V$17,TRUE,L$15:L$17),2)))</f>
        <v>0</v>
      </c>
      <c r="N14" s="255">
        <f t="shared" ca="1" si="3"/>
        <v>0</v>
      </c>
      <c r="O14" s="484"/>
      <c r="P14" s="484"/>
      <c r="Q14" s="251">
        <f ca="1">IF(AND(RREMode="RREV",$AA14&lt;&gt;""),ROUND(AA14,2),IF(X14&lt;&gt;"",X14,X7))</f>
        <v>0</v>
      </c>
      <c r="R14" s="530"/>
      <c r="S14" s="4"/>
      <c r="T14" s="19"/>
      <c r="U14" s="71"/>
      <c r="V14" s="169" t="str">
        <f>H14</f>
        <v>Outros</v>
      </c>
      <c r="W14" s="170" t="str">
        <f ca="1">IF(COUNTIF($AC$9:$BA$9,$I$5-1)=0,"",IF(INDEX($AC14:$BA14,MATCH($I$5-1,$AC$9:$BA$9,0))="","",INDEX($AC14:$BA14,MATCH($I$5-1,$AC$9:$BA$9,0))))</f>
        <v/>
      </c>
      <c r="X14" s="170" t="str">
        <f ca="1">IF(COUNTIF($AC$9:$BA$9,$I$5)=0,"",IF(INDEX($AC14:$BA14,MATCH($I$5,$AC$9:$BA$9,0))="","",INDEX($AC14:$BA14,MATCH($I$5,$AC$9:$BA$9,0))))</f>
        <v/>
      </c>
      <c r="Y14" s="4"/>
      <c r="Z14" s="178"/>
      <c r="AA14" s="179"/>
      <c r="AC14" s="182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79"/>
    </row>
    <row r="15" spans="1:52" ht="12" customHeight="1" x14ac:dyDescent="0.25">
      <c r="A15" s="113"/>
      <c r="B15" s="513"/>
      <c r="C15" s="393"/>
      <c r="D15" s="121"/>
      <c r="E15" s="122"/>
      <c r="F15" s="123"/>
      <c r="G15" s="127"/>
      <c r="H15" s="538" t="s">
        <v>80</v>
      </c>
      <c r="I15" s="539"/>
      <c r="J15" s="190">
        <f ca="1">QCI!O15</f>
        <v>1001929.02</v>
      </c>
      <c r="K15" s="484"/>
      <c r="L15" s="484"/>
      <c r="M15" s="191">
        <f ca="1">ROUND(SUMIF($V$15:$V$17,TRUE,M$15:M$17),2)</f>
        <v>0</v>
      </c>
      <c r="N15" s="192">
        <f t="shared" ca="1" si="3"/>
        <v>0</v>
      </c>
      <c r="O15" s="484"/>
      <c r="P15" s="484"/>
      <c r="Q15" s="190">
        <f ca="1">ROUND(SUMIF($V$15:$V$17,TRUE,Q$15:Q$17),2)</f>
        <v>0</v>
      </c>
      <c r="R15" s="531"/>
      <c r="S15" s="4"/>
      <c r="T15" s="19"/>
      <c r="U15" s="71"/>
      <c r="Y15" s="4"/>
      <c r="Z15" s="173"/>
      <c r="AA15" s="174"/>
      <c r="AC15" s="173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4"/>
    </row>
    <row r="16" spans="1:52" x14ac:dyDescent="0.25">
      <c r="A16" s="114">
        <f ca="1">OFFSET(QCI!B$15,ROW(A16)-ROW(A$15),0)</f>
        <v>1</v>
      </c>
      <c r="B16" s="104" t="str">
        <f ca="1">OFFSET(QCI!C$15,ROW(B16)-ROW(B$15),0)</f>
        <v>Meta</v>
      </c>
      <c r="C16" s="105" t="str">
        <f ca="1">OFFSET(QCI!D$15,ROW(C16)-ROW(C$15),0)</f>
        <v>1.</v>
      </c>
      <c r="D16" s="115" t="str">
        <f ca="1">OFFSET(QCI!G$15,ROW(F16)-ROW(F$15),0)</f>
        <v>PAVIMENTAÇÃO EM CBUQ</v>
      </c>
      <c r="E16" s="116" t="str">
        <f ca="1">IF($V16,OFFSET(QCI!H$15,ROW(G16)-ROW(G$15),0),"")</f>
        <v>Em Análise</v>
      </c>
      <c r="F16" s="197">
        <f ca="1">IF($B16="Sub-Meta","",OFFSET(QCI!I$15,ROW(H16)-ROW(H$15),0))</f>
        <v>6440</v>
      </c>
      <c r="G16" s="328" t="str">
        <f ca="1">IF(ISERROR(OFFSET(QCI!J$15,ROW(J16)-ROW(J$15),0)),"",OFFSET(QCI!J$15,ROW(J16)-ROW(J$15),0))</f>
        <v>m²</v>
      </c>
      <c r="H16" s="329" t="str">
        <f ca="1">IF($V16,OFFSET(QCI!K$15,ROW(M16)-ROW(M$15),0),"")</f>
        <v>Lote 1</v>
      </c>
      <c r="I16" s="327"/>
      <c r="J16" s="317">
        <f ca="1">OFFSET(QCI!O$15,ROW(AB16)-ROW(AB$15),0)</f>
        <v>1001929.02</v>
      </c>
      <c r="K16" s="124">
        <f ca="1">ROUND(M16/($J16+10^-12)*OFFSET(QCI!$M$15,ROW(K16)-ROW(K$15),0),2)</f>
        <v>0</v>
      </c>
      <c r="L16" s="124">
        <f ca="1">ROUND(M16/($J16+10^-12)*OFFSET(QCI!$N$15,ROW(L16)-ROW(L$15),0),2)</f>
        <v>0</v>
      </c>
      <c r="M16" s="242">
        <f ca="1">IF($V16,IF(OR($E16="Licitado / em execução",$E16="Concluído"),IF(RREMode="RREV",ROUND(Z16,2),W16),0),SUM(OFFSET(M16,1,0,$T16)))</f>
        <v>0</v>
      </c>
      <c r="N16" s="316">
        <f t="shared" ca="1" si="3"/>
        <v>0</v>
      </c>
      <c r="O16" s="243">
        <f ca="1">ROUND(Q16/($J16+10^-12)*OFFSET(QCI!$M$15,ROW(O16)-ROW(O$15),0),2)</f>
        <v>0</v>
      </c>
      <c r="P16" s="243">
        <f ca="1">ROUND(Q16/($J16+10^-12)*OFFSET(QCI!$N$15,ROW(P16)-ROW(P$15),0),2)</f>
        <v>0</v>
      </c>
      <c r="Q16" s="244">
        <f ca="1">IF($V16,IF(OR($E16="Licitado / em execução",$E16="Concluído"),IF(RREMode="RREV",ROUND(AA16,2),X16),0),SUM(OFFSET(Q16,1,0,$T16)))</f>
        <v>0</v>
      </c>
      <c r="R16" s="315">
        <f ca="1">Q16/($J16+10^-12)</f>
        <v>0</v>
      </c>
      <c r="S16" s="32"/>
      <c r="T16" s="72">
        <f ca="1">OFFSET(QCI!X$15,ROW(X16)-ROW(W$15),0)</f>
        <v>0</v>
      </c>
      <c r="U16" s="74">
        <f ca="1">IF(AND(COUNTIF($H$9:$H16,$H16)=1,$H16&lt;&gt;"Adm. Direta",SUMIF($H$9:$H$17,$H16,$N$9:$N$17)&gt;0,$V16),OFFSET(U16,-1,0)+1,OFFSET(U16,-1,0))</f>
        <v>0</v>
      </c>
      <c r="V16" s="72" t="b">
        <f ca="1">OFFSET(QCI!Y$15,ROW(W16)-ROW(X$15),0)</f>
        <v>1</v>
      </c>
      <c r="W16" s="73">
        <f ca="1">IF(AND(COUNTA(OFFSET($AC16,0,0,1,mcol-1))&gt;0,mcol&gt;1),ROUND((INDEX(OFFSET($AC16,0,0,1,mcol-1),MATCH(9.99999999999999E+307,OFFSET($AC16,0,0,1,mcol-1)))),2),0)</f>
        <v>0</v>
      </c>
      <c r="X16" s="73">
        <f ca="1">IF(AND(COUNTA(OFFSET($AC16,0,0,1,mcol))&gt;0,mcol&gt;0),ROUND((INDEX(OFFSET($AC16,0,0,1,mcol),MATCH(9.99999999999999E+307,OFFSET($AC16,0,0,1,mcol)))),2),0)</f>
        <v>0</v>
      </c>
      <c r="Y16" s="13"/>
      <c r="Z16" s="171"/>
      <c r="AA16" s="172"/>
      <c r="AC16" s="321"/>
      <c r="AD16" s="322"/>
      <c r="AE16" s="322"/>
      <c r="AF16" s="322"/>
      <c r="AG16" s="322"/>
      <c r="AH16" s="322"/>
      <c r="AI16" s="322"/>
      <c r="AJ16" s="322"/>
      <c r="AK16" s="322"/>
      <c r="AL16" s="322"/>
      <c r="AM16" s="322"/>
      <c r="AN16" s="322"/>
      <c r="AO16" s="322"/>
      <c r="AP16" s="322"/>
      <c r="AQ16" s="322"/>
      <c r="AR16" s="322"/>
      <c r="AS16" s="322"/>
      <c r="AT16" s="322"/>
      <c r="AU16" s="322"/>
      <c r="AV16" s="322"/>
      <c r="AW16" s="322"/>
      <c r="AX16" s="322"/>
      <c r="AY16" s="322"/>
      <c r="AZ16" s="323"/>
    </row>
    <row r="17" spans="1:52" ht="5.25" customHeight="1" x14ac:dyDescent="0.25">
      <c r="A17" s="89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1"/>
      <c r="S17" s="4"/>
      <c r="T17"/>
      <c r="U17"/>
      <c r="V17"/>
      <c r="W17"/>
      <c r="X17"/>
      <c r="Y17" s="4"/>
      <c r="Z17" s="137"/>
      <c r="AA17" s="91"/>
      <c r="AC17" s="137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1"/>
    </row>
    <row r="18" spans="1:52" ht="12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T18" s="27"/>
      <c r="U18" s="27"/>
      <c r="V18" s="27"/>
      <c r="W18" s="27"/>
      <c r="X18" s="27"/>
      <c r="Z18" s="27"/>
      <c r="AA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</row>
    <row r="19" spans="1:52" ht="12.75" hidden="1" customHeight="1" x14ac:dyDescent="0.25">
      <c r="A19" s="522" t="s">
        <v>223</v>
      </c>
      <c r="B19" s="523"/>
      <c r="C19" s="52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336"/>
      <c r="T19" s="27"/>
      <c r="U19" s="27"/>
      <c r="V19" s="27"/>
      <c r="W19" s="27"/>
      <c r="X19" s="27"/>
      <c r="Z19" s="27"/>
      <c r="AA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</row>
    <row r="20" spans="1:52" ht="24.9" hidden="1" customHeight="1" x14ac:dyDescent="0.25">
      <c r="A20" s="450"/>
      <c r="B20" s="451"/>
      <c r="C20" s="451"/>
      <c r="D20" s="451"/>
      <c r="E20" s="451"/>
      <c r="F20" s="451"/>
      <c r="G20" s="451"/>
      <c r="H20" s="451"/>
      <c r="I20" s="451"/>
      <c r="J20" s="451"/>
      <c r="K20" s="451"/>
      <c r="L20" s="451"/>
      <c r="M20" s="451"/>
      <c r="N20" s="451"/>
      <c r="O20" s="451"/>
      <c r="P20" s="451"/>
      <c r="Q20" s="451"/>
      <c r="R20" s="452"/>
      <c r="T20" s="27"/>
      <c r="U20" s="27"/>
      <c r="V20" s="27"/>
      <c r="W20" s="27"/>
      <c r="X20" s="27"/>
      <c r="Z20" s="27"/>
      <c r="AA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</row>
    <row r="21" spans="1:52" ht="24.9" hidden="1" customHeight="1" x14ac:dyDescent="0.25">
      <c r="A21" s="365"/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366"/>
      <c r="T21" s="27"/>
      <c r="U21" s="27"/>
      <c r="V21" s="27"/>
      <c r="W21" s="27"/>
      <c r="X21" s="27"/>
      <c r="Z21" s="27"/>
      <c r="AA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</row>
    <row r="22" spans="1:52" ht="12.75" hidden="1" customHeight="1" x14ac:dyDescent="0.25">
      <c r="A22" s="331"/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T22" s="27"/>
      <c r="U22" s="27"/>
      <c r="V22" s="27"/>
      <c r="W22" s="27"/>
      <c r="X22" s="27"/>
      <c r="Z22" s="27"/>
      <c r="AA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</row>
    <row r="23" spans="1:52" ht="12.75" customHeight="1" x14ac:dyDescent="0.25">
      <c r="A23" s="45" t="str">
        <f>QCI!H27</f>
        <v>Local:</v>
      </c>
      <c r="B23" s="500"/>
      <c r="C23" s="501"/>
      <c r="D23" s="501"/>
      <c r="E23" s="501"/>
      <c r="F23" s="7"/>
      <c r="G23" s="7"/>
      <c r="I23" s="44" t="str">
        <f>QCI!H28</f>
        <v>Data:</v>
      </c>
      <c r="J23" s="401">
        <f ca="1">TODAY()</f>
        <v>45562</v>
      </c>
      <c r="K23" s="401"/>
      <c r="L23" s="401"/>
      <c r="M23" s="401"/>
      <c r="N23" s="401"/>
      <c r="O23" s="401"/>
      <c r="P23" s="401"/>
      <c r="Q23" s="401"/>
      <c r="R23" s="5"/>
      <c r="T23" s="75"/>
      <c r="U23" s="27"/>
      <c r="V23" s="27"/>
      <c r="W23" s="27"/>
      <c r="X23" s="27"/>
      <c r="Z23" s="27"/>
      <c r="AA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</row>
    <row r="24" spans="1:52" ht="39.9" customHeight="1" x14ac:dyDescent="0.25">
      <c r="A24" s="40"/>
      <c r="B24" s="40"/>
      <c r="C24" s="41"/>
      <c r="D24" s="41"/>
      <c r="E24" s="41"/>
      <c r="F24" s="9"/>
      <c r="G24" s="9"/>
      <c r="H24" s="41"/>
      <c r="I24" s="41"/>
      <c r="J24" s="47"/>
      <c r="K24" s="47"/>
      <c r="L24" s="47"/>
      <c r="M24" s="47"/>
      <c r="N24" s="47"/>
      <c r="O24" s="47"/>
      <c r="P24" s="47"/>
      <c r="Q24" s="47"/>
      <c r="R24" s="3"/>
    </row>
    <row r="25" spans="1:52" ht="12.75" customHeight="1" x14ac:dyDescent="0.25">
      <c r="A25" s="494" t="str">
        <f>IF(RREMode="RRET","Responsável Técnico","Profissional Responsável CAIXA")</f>
        <v>Responsável Técnico</v>
      </c>
      <c r="B25" s="494"/>
      <c r="C25" s="494"/>
      <c r="D25" s="494"/>
      <c r="E25" s="494"/>
      <c r="F25" s="7"/>
      <c r="G25" s="7"/>
      <c r="H25" s="521" t="str">
        <f>IF(RREMode="RREV","Responsável Gerencial CAIXA:",QCI!$C$26)</f>
        <v>Representante Tomador / Agente Promotor</v>
      </c>
      <c r="I25" s="521"/>
      <c r="J25" s="521"/>
      <c r="K25" s="521"/>
      <c r="L25" s="521"/>
      <c r="M25" s="521"/>
      <c r="N25" s="521"/>
      <c r="O25" s="521"/>
      <c r="P25" s="521"/>
      <c r="Q25" s="521"/>
      <c r="R25" s="5"/>
      <c r="AC25" s="14"/>
      <c r="AD25" s="326"/>
    </row>
    <row r="26" spans="1:52" ht="12.75" customHeight="1" x14ac:dyDescent="0.25">
      <c r="A26" s="37" t="s">
        <v>142</v>
      </c>
      <c r="B26" s="37"/>
      <c r="C26" s="400"/>
      <c r="D26" s="400"/>
      <c r="E26" s="400"/>
      <c r="F26" s="7"/>
      <c r="G26" s="7"/>
      <c r="H26" s="37" t="s">
        <v>142</v>
      </c>
      <c r="I26" s="527"/>
      <c r="J26" s="520"/>
      <c r="K26" s="520"/>
      <c r="L26" s="520"/>
      <c r="M26" s="520"/>
      <c r="N26" s="520"/>
      <c r="O26" s="520"/>
      <c r="P26" s="520"/>
      <c r="Q26" s="520"/>
      <c r="R26" s="5"/>
      <c r="AC26" s="326"/>
      <c r="AD26" s="326"/>
    </row>
    <row r="27" spans="1:52" ht="12.75" customHeight="1" x14ac:dyDescent="0.25">
      <c r="A27" s="37" t="str">
        <f>IF(RREMode="RREV","Função:","Cargo:")</f>
        <v>Cargo:</v>
      </c>
      <c r="B27" s="37"/>
      <c r="C27" s="400"/>
      <c r="D27" s="400"/>
      <c r="E27" s="400"/>
      <c r="F27" s="7"/>
      <c r="G27" s="7"/>
      <c r="H27" s="39" t="str">
        <f>IF(RREMode="RREV","Função:","Cargo:")</f>
        <v>Cargo:</v>
      </c>
      <c r="I27" s="520"/>
      <c r="J27" s="520"/>
      <c r="K27" s="520"/>
      <c r="L27" s="520"/>
      <c r="M27" s="520"/>
      <c r="N27" s="520"/>
      <c r="O27" s="520"/>
      <c r="P27" s="520"/>
      <c r="Q27" s="520"/>
      <c r="R27" s="5"/>
    </row>
    <row r="28" spans="1:52" ht="12.75" customHeight="1" x14ac:dyDescent="0.25">
      <c r="A28" s="37" t="str">
        <f>IF(RREMode="RREV","Matrícula:","ART/RRT Fiscal.:")</f>
        <v>ART/RRT Fiscal.:</v>
      </c>
      <c r="B28" s="37"/>
      <c r="C28" s="400"/>
      <c r="D28" s="400"/>
      <c r="E28" s="400"/>
      <c r="F28" s="7"/>
      <c r="G28" s="7"/>
      <c r="H28" s="42" t="str">
        <f>IF(RREMode="RREV","Matrícula:","")</f>
        <v/>
      </c>
      <c r="I28" s="520"/>
      <c r="J28" s="520"/>
      <c r="K28" s="520"/>
      <c r="L28" s="520"/>
      <c r="M28" s="520"/>
      <c r="N28" s="520"/>
      <c r="O28" s="520"/>
      <c r="P28" s="520"/>
      <c r="Q28" s="520"/>
      <c r="R28" s="5"/>
    </row>
    <row r="29" spans="1:52" ht="39.9" customHeight="1" x14ac:dyDescent="0.25">
      <c r="A29" s="46"/>
      <c r="B29" s="46"/>
      <c r="C29" s="46"/>
      <c r="D29" s="46"/>
      <c r="E29" s="46"/>
      <c r="F29" s="7"/>
      <c r="G29" s="7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5"/>
    </row>
    <row r="30" spans="1:52" ht="12.75" customHeight="1" x14ac:dyDescent="0.25">
      <c r="A30" s="494" t="str">
        <f>IF(RREMode="RRET","Responsável Social","Responsável Social CAIXA")</f>
        <v>Responsável Social</v>
      </c>
      <c r="B30" s="494"/>
      <c r="C30" s="494"/>
      <c r="D30" s="494"/>
      <c r="E30" s="494"/>
      <c r="F30" s="7"/>
      <c r="G30" s="7"/>
      <c r="H30" s="521" t="str">
        <f>IF(RREMode="RREV","Responsável Operacional CAIXA","Responsável Financeiro")</f>
        <v>Responsável Financeiro</v>
      </c>
      <c r="I30" s="521"/>
      <c r="J30" s="521"/>
      <c r="K30" s="521"/>
      <c r="L30" s="521"/>
      <c r="M30" s="521"/>
      <c r="N30" s="521"/>
      <c r="O30" s="521"/>
      <c r="P30" s="521"/>
      <c r="Q30" s="521"/>
      <c r="R30" s="5"/>
    </row>
    <row r="31" spans="1:52" ht="12.75" customHeight="1" x14ac:dyDescent="0.25">
      <c r="A31" s="37" t="s">
        <v>142</v>
      </c>
      <c r="B31" s="37"/>
      <c r="C31" s="400"/>
      <c r="D31" s="400"/>
      <c r="E31" s="400"/>
      <c r="F31" s="7"/>
      <c r="G31" s="7"/>
      <c r="H31" s="37" t="s">
        <v>142</v>
      </c>
      <c r="I31" s="520"/>
      <c r="J31" s="520"/>
      <c r="K31" s="520"/>
      <c r="L31" s="520"/>
      <c r="M31" s="520"/>
      <c r="N31" s="520"/>
      <c r="O31" s="520"/>
      <c r="P31" s="520"/>
      <c r="Q31" s="520"/>
      <c r="R31" s="5"/>
    </row>
    <row r="32" spans="1:52" ht="12.75" customHeight="1" x14ac:dyDescent="0.25">
      <c r="A32" s="37" t="str">
        <f>IF(RREMode="RREV","Função:","Cargo:")</f>
        <v>Cargo:</v>
      </c>
      <c r="B32" s="37"/>
      <c r="C32" s="400"/>
      <c r="D32" s="400"/>
      <c r="E32" s="400"/>
      <c r="F32" s="7"/>
      <c r="G32" s="7"/>
      <c r="H32" s="39" t="str">
        <f>IF(RREMode="RREV","Função:","Cargo:")</f>
        <v>Cargo:</v>
      </c>
      <c r="I32" s="520"/>
      <c r="J32" s="520"/>
      <c r="K32" s="520"/>
      <c r="L32" s="520"/>
      <c r="M32" s="520"/>
      <c r="N32" s="520"/>
      <c r="O32" s="520"/>
      <c r="P32" s="520"/>
      <c r="Q32" s="520"/>
      <c r="R32" s="5"/>
    </row>
    <row r="33" spans="1:18" ht="12.75" customHeight="1" x14ac:dyDescent="0.25">
      <c r="A33" s="37" t="str">
        <f>IF(RREMode="RREV","Matrícula:","")</f>
        <v/>
      </c>
      <c r="B33" s="37"/>
      <c r="C33" s="400"/>
      <c r="D33" s="400"/>
      <c r="E33" s="400"/>
      <c r="F33" s="7"/>
      <c r="G33" s="7"/>
      <c r="H33" s="39" t="str">
        <f>IF(RREMode="RREV","Matrícula:","")</f>
        <v/>
      </c>
      <c r="I33" s="520"/>
      <c r="J33" s="520"/>
      <c r="K33" s="520"/>
      <c r="L33" s="520"/>
      <c r="M33" s="520"/>
      <c r="N33" s="520"/>
      <c r="O33" s="520"/>
      <c r="P33" s="520"/>
      <c r="Q33" s="520"/>
      <c r="R33" s="5"/>
    </row>
    <row r="34" spans="1:18" x14ac:dyDescent="0.25">
      <c r="C34" s="9"/>
      <c r="D34" s="9"/>
      <c r="E34" s="9"/>
      <c r="F34" s="9"/>
      <c r="G34" s="9"/>
      <c r="H34" s="9"/>
      <c r="I34" s="9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C35" s="9"/>
      <c r="D35" s="9"/>
      <c r="E35" s="9"/>
      <c r="F35" s="9"/>
      <c r="G35" s="9"/>
      <c r="H35" s="9"/>
      <c r="I35" s="9"/>
      <c r="J35" s="3"/>
      <c r="K35" s="3"/>
      <c r="L35" s="3"/>
      <c r="M35" s="3"/>
      <c r="N35" s="3"/>
      <c r="O35" s="3"/>
      <c r="P35" s="3"/>
      <c r="Q35" s="3"/>
      <c r="R35" s="3"/>
    </row>
  </sheetData>
  <sheetProtection password="A71E" sheet="1" objects="1" scenarios="1"/>
  <mergeCells count="92">
    <mergeCell ref="I33:Q33"/>
    <mergeCell ref="H30:Q30"/>
    <mergeCell ref="A19:C19"/>
    <mergeCell ref="A9:A10"/>
    <mergeCell ref="A20:R21"/>
    <mergeCell ref="H14:I14"/>
    <mergeCell ref="Q9:Q10"/>
    <mergeCell ref="I26:Q26"/>
    <mergeCell ref="N9:N10"/>
    <mergeCell ref="R12:R15"/>
    <mergeCell ref="H9:H10"/>
    <mergeCell ref="L12:L15"/>
    <mergeCell ref="I31:Q31"/>
    <mergeCell ref="I27:Q27"/>
    <mergeCell ref="H12:I12"/>
    <mergeCell ref="I28:Q28"/>
    <mergeCell ref="C33:E33"/>
    <mergeCell ref="C26:E26"/>
    <mergeCell ref="C27:E27"/>
    <mergeCell ref="C28:E28"/>
    <mergeCell ref="C31:E31"/>
    <mergeCell ref="H13:I13"/>
    <mergeCell ref="H7:J8"/>
    <mergeCell ref="B9:C10"/>
    <mergeCell ref="C32:E32"/>
    <mergeCell ref="A30:E30"/>
    <mergeCell ref="I32:Q32"/>
    <mergeCell ref="H25:Q25"/>
    <mergeCell ref="K12:K15"/>
    <mergeCell ref="H15:I15"/>
    <mergeCell ref="Q2:R2"/>
    <mergeCell ref="Q3:R3"/>
    <mergeCell ref="A3:N3"/>
    <mergeCell ref="I9:I10"/>
    <mergeCell ref="E5:F5"/>
    <mergeCell ref="N5:O5"/>
    <mergeCell ref="I5:I6"/>
    <mergeCell ref="H5:H6"/>
    <mergeCell ref="N6:O6"/>
    <mergeCell ref="A25:E25"/>
    <mergeCell ref="D9:D10"/>
    <mergeCell ref="F9:F10"/>
    <mergeCell ref="G9:G10"/>
    <mergeCell ref="B23:E23"/>
    <mergeCell ref="B12:C15"/>
    <mergeCell ref="J5:J6"/>
    <mergeCell ref="M8:Q8"/>
    <mergeCell ref="AF9:AF10"/>
    <mergeCell ref="AG9:AG10"/>
    <mergeCell ref="T9:T10"/>
    <mergeCell ref="U9:U10"/>
    <mergeCell ref="J23:Q23"/>
    <mergeCell ref="R8:R10"/>
    <mergeCell ref="O9:P10"/>
    <mergeCell ref="M9:M10"/>
    <mergeCell ref="K9:L10"/>
    <mergeCell ref="P12:P15"/>
    <mergeCell ref="O12:O15"/>
    <mergeCell ref="AU8:AW8"/>
    <mergeCell ref="Z9:Z10"/>
    <mergeCell ref="AF8:AH8"/>
    <mergeCell ref="AC9:AC10"/>
    <mergeCell ref="AH9:AH10"/>
    <mergeCell ref="AO8:AQ8"/>
    <mergeCell ref="AL9:AL10"/>
    <mergeCell ref="AJ9:AJ10"/>
    <mergeCell ref="AP9:AP10"/>
    <mergeCell ref="AK9:AK10"/>
    <mergeCell ref="AL8:AN8"/>
    <mergeCell ref="AM9:AM10"/>
    <mergeCell ref="AX9:AX10"/>
    <mergeCell ref="AO9:AO10"/>
    <mergeCell ref="AX8:AZ8"/>
    <mergeCell ref="AY9:AY10"/>
    <mergeCell ref="AZ9:AZ10"/>
    <mergeCell ref="AQ9:AQ10"/>
    <mergeCell ref="AT9:AT10"/>
    <mergeCell ref="AR9:AR10"/>
    <mergeCell ref="AR8:AT8"/>
    <mergeCell ref="AC8:AE8"/>
    <mergeCell ref="AE9:AE10"/>
    <mergeCell ref="Z8:AA8"/>
    <mergeCell ref="AN9:AN10"/>
    <mergeCell ref="AS9:AS10"/>
    <mergeCell ref="AD9:AD10"/>
    <mergeCell ref="AI8:AK8"/>
    <mergeCell ref="AA9:AA10"/>
    <mergeCell ref="E9:E10"/>
    <mergeCell ref="AI9:AI10"/>
    <mergeCell ref="AW9:AW10"/>
    <mergeCell ref="AV9:AV10"/>
    <mergeCell ref="AU9:AU10"/>
  </mergeCells>
  <phoneticPr fontId="4" type="noConversion"/>
  <conditionalFormatting sqref="M12:M15 Q12:Q15 Z15:AA15 AC15:AZ15">
    <cfRule type="cellIs" dxfId="31" priority="1199" stopIfTrue="1" operator="notBetween">
      <formula>0</formula>
      <formula>$J12</formula>
    </cfRule>
  </conditionalFormatting>
  <conditionalFormatting sqref="AC11:AZ11 Z11:AA11 AC16:AZ16 Z16:AA16">
    <cfRule type="expression" dxfId="30" priority="1203" stopIfTrue="1">
      <formula>OR(NOT($V11),$J11=0,AND($E11&lt;&gt;"Licitado / em execução",$E11&lt;&gt;"Concluído"))</formula>
    </cfRule>
    <cfRule type="cellIs" dxfId="29" priority="1204" stopIfTrue="1" operator="notBetween">
      <formula>0</formula>
      <formula>$J11</formula>
    </cfRule>
  </conditionalFormatting>
  <conditionalFormatting sqref="Z13:AA14 AC13:AZ14">
    <cfRule type="cellIs" dxfId="28" priority="1205" stopIfTrue="1" operator="notBetween">
      <formula>0</formula>
      <formula>$J13</formula>
    </cfRule>
    <cfRule type="expression" dxfId="27" priority="1206" stopIfTrue="1">
      <formula>$J13=0</formula>
    </cfRule>
  </conditionalFormatting>
  <conditionalFormatting sqref="A11:D11 A16:D16">
    <cfRule type="expression" dxfId="26" priority="1222" stopIfTrue="1">
      <formula>$J11=0</formula>
    </cfRule>
    <cfRule type="expression" dxfId="25" priority="1223" stopIfTrue="1">
      <formula>$V11=FALSE</formula>
    </cfRule>
    <cfRule type="expression" dxfId="24" priority="1224" stopIfTrue="1">
      <formula>$B11="Meta"</formula>
    </cfRule>
  </conditionalFormatting>
  <conditionalFormatting sqref="N11 J11 R11 N16 J16 R16">
    <cfRule type="expression" dxfId="23" priority="1225" stopIfTrue="1">
      <formula>AND($V11=FALSE,$J11&gt;0)</formula>
    </cfRule>
    <cfRule type="expression" dxfId="22" priority="1226" stopIfTrue="1">
      <formula>$B11="Meta"</formula>
    </cfRule>
  </conditionalFormatting>
  <conditionalFormatting sqref="M11 Q11 M16 Q16">
    <cfRule type="cellIs" dxfId="21" priority="1234" stopIfTrue="1" operator="notBetween">
      <formula>0</formula>
      <formula>$J11</formula>
    </cfRule>
    <cfRule type="expression" dxfId="20" priority="1235" stopIfTrue="1">
      <formula>AND($V11=FALSE,$J11&gt;0)</formula>
    </cfRule>
    <cfRule type="expression" dxfId="19" priority="1236" stopIfTrue="1">
      <formula>$B11="Meta"</formula>
    </cfRule>
  </conditionalFormatting>
  <conditionalFormatting sqref="AC12:AZ12 Z12:AA12">
    <cfRule type="cellIs" dxfId="18" priority="1207" stopIfTrue="1" operator="notBetween">
      <formula>0</formula>
      <formula>"$I12"</formula>
    </cfRule>
  </conditionalFormatting>
  <conditionalFormatting sqref="D6">
    <cfRule type="cellIs" dxfId="17" priority="1188" stopIfTrue="1" operator="equal">
      <formula>"Atrasada"</formula>
    </cfRule>
    <cfRule type="cellIs" dxfId="16" priority="1189" stopIfTrue="1" operator="equal">
      <formula>"Adiantada"</formula>
    </cfRule>
  </conditionalFormatting>
  <conditionalFormatting sqref="M6:N6">
    <cfRule type="cellIs" dxfId="15" priority="1190" stopIfTrue="1" operator="lessThan">
      <formula>0</formula>
    </cfRule>
  </conditionalFormatting>
  <conditionalFormatting sqref="R12:R15">
    <cfRule type="cellIs" dxfId="14" priority="1211" stopIfTrue="1" operator="notBetween">
      <formula>0</formula>
      <formula>1</formula>
    </cfRule>
  </conditionalFormatting>
  <conditionalFormatting sqref="I11 I16">
    <cfRule type="expression" dxfId="13" priority="108" stopIfTrue="1">
      <formula>$V11=FALSE</formula>
    </cfRule>
    <cfRule type="expression" dxfId="12" priority="160" stopIfTrue="1">
      <formula>OR($J11=0,AND($E11&lt;&gt;"Licitado / em execução",$E11&lt;&gt;"Concluído"))</formula>
    </cfRule>
    <cfRule type="expression" dxfId="11" priority="162" stopIfTrue="1">
      <formula>$B11="Meta"</formula>
    </cfRule>
  </conditionalFormatting>
  <conditionalFormatting sqref="E16 H16">
    <cfRule type="expression" dxfId="10" priority="82" stopIfTrue="1">
      <formula>$J16=0</formula>
    </cfRule>
    <cfRule type="expression" dxfId="9" priority="83" stopIfTrue="1">
      <formula>$V16=FALSE</formula>
    </cfRule>
    <cfRule type="expression" dxfId="8" priority="84" stopIfTrue="1">
      <formula>$B16="Meta"</formula>
    </cfRule>
  </conditionalFormatting>
  <conditionalFormatting sqref="E11 H11">
    <cfRule type="expression" dxfId="7" priority="1229" stopIfTrue="1">
      <formula>$J11=0</formula>
    </cfRule>
    <cfRule type="expression" dxfId="6" priority="1230" stopIfTrue="1">
      <formula>$V11=FALSE</formula>
    </cfRule>
    <cfRule type="expression" dxfId="5" priority="1231" stopIfTrue="1">
      <formula>$B11="Meta"</formula>
    </cfRule>
  </conditionalFormatting>
  <conditionalFormatting sqref="F11:G11 F16:G16">
    <cfRule type="expression" dxfId="4" priority="68" stopIfTrue="1">
      <formula>$J11=0</formula>
    </cfRule>
    <cfRule type="expression" dxfId="3" priority="69" stopIfTrue="1">
      <formula>$V11=FALSE</formula>
    </cfRule>
    <cfRule type="expression" dxfId="2" priority="70" stopIfTrue="1">
      <formula>$B11="Meta"</formula>
    </cfRule>
  </conditionalFormatting>
  <dataValidations count="17">
    <dataValidation type="decimal" allowBlank="1" showInputMessage="1" showErrorMessage="1" errorTitle="Erro de Entrada" error="Esse valor de Contrapartida implicará em um valor de Repasse negativo." sqref="M13">
      <formula1>0</formula1>
      <formula2>U6</formula2>
    </dataValidation>
    <dataValidation type="decimal" allowBlank="1" showInputMessage="1" showErrorMessage="1" errorTitle="Erro de Entrada" error="Esse valor de Contrapartida implicará em um valor de Repasse negativo." sqref="Q13">
      <formula1>0</formula1>
      <formula2>V6</formula2>
    </dataValidation>
    <dataValidation type="decimal" allowBlank="1" showInputMessage="1" showErrorMessage="1" errorTitle="Erro de Valor" error="Digite valores entre 0 e o valor medido para esta Medição." sqref="AA11 AA16">
      <formula1>0</formula1>
      <formula2>$X11</formula2>
    </dataValidation>
    <dataValidation type="decimal" errorStyle="warning" allowBlank="1" showInputMessage="1" showErrorMessage="1" errorTitle="Erro de Valor" error="Valor menor que 0,00 ou maior que o valor da Contrapartida/Outros." promptTitle="CP Financeira Anterior:" prompt="Deixe essa célula em branco para o cálculo automático. Preencha somente para valores de CP diferentes do previsto." sqref="Z13">
      <formula1>0</formula1>
      <formula2>Z6</formula2>
    </dataValidation>
    <dataValidation type="decimal" errorStyle="warning" allowBlank="1" showInputMessage="1" showErrorMessage="1" errorTitle="Erro de Valor" error="Valor menor que 0,00 ou maior que o valor da Contrapartida/Outros." promptTitle="CP Física / Outros Anterior:" prompt="Deixe essa célula em branco para o cálculo automático. Preencha somente para valores de CP/Outros diferentes do previsto." sqref="Z14">
      <formula1>0</formula1>
      <formula2>Z7</formula2>
    </dataValidation>
    <dataValidation type="decimal" allowBlank="1" showInputMessage="1" showErrorMessage="1" errorTitle="Erro de Valor" error="Valor menor que 0,00 ou maior que o valor da Contrapartida/Outros." promptTitle="CP Financeira Acumulada:" prompt="Deixe essa célula em branco para o cálculo automático. Preencha somente para valores de CP diferentes do previsto." sqref="AA13">
      <formula1>0</formula1>
      <formula2>AA6</formula2>
    </dataValidation>
    <dataValidation type="decimal" allowBlank="1" showInputMessage="1" showErrorMessage="1" errorTitle="Erro de Valor" error="Valor menor que 0,00 ou maior que o valor da Contrapartida/Outros." promptTitle="CP Física / Outros Acumulada:" prompt="Deixe essa célula em branco para o cálculo automático. Preencha somente para valores de CP/Outros diferentes do previsto." sqref="AA14">
      <formula1>0</formula1>
      <formula2>AA7</formula2>
    </dataValidation>
    <dataValidation type="decimal" errorStyle="warning" allowBlank="1" showInputMessage="1" showErrorMessage="1" errorTitle="Erro de Valor" error="Valor menor que 0,00 ou maior que o valor da Contrapartida/Outros." promptTitle="CP Financeira:" prompt="Deixe essa célula em branco para o cálculo automático. Preencha somente para valores de CP diferentes do previsto." sqref="AC13:AZ13">
      <formula1>0</formula1>
      <formula2>AC6</formula2>
    </dataValidation>
    <dataValidation type="decimal" errorStyle="warning" allowBlank="1" showInputMessage="1" showErrorMessage="1" errorTitle="Erro de Valor" error="Valor menor que 0,00 ou maior que o valor da Contrapartida/Outros." promptTitle="CP Física / Outros:" prompt="Deixe essa célula em branco para o cálculo automático. Preencha somente para valores de CP/Outros diferentes do previsto." sqref="AC14:AZ14">
      <formula1>0</formula1>
      <formula2>AC7</formula2>
    </dataValidation>
    <dataValidation type="date" operator="greaterThan" allowBlank="1" showInputMessage="1" showErrorMessage="1" sqref="J23:Q23">
      <formula1>36526</formula1>
    </dataValidation>
    <dataValidation type="whole" operator="greaterThan" allowBlank="1" showInputMessage="1" showErrorMessage="1" errorTitle="Erro de Valor" error="Digite somente números inteiros maiores do que 0." promptTitle="Medição:" prompt="Para medições maiores do que 24 períodos, editar o número da medição nesta célula." sqref="AC9:AC10">
      <formula1>0</formula1>
    </dataValidation>
    <dataValidation type="whole" operator="greaterThan" allowBlank="1" showInputMessage="1" showErrorMessage="1" errorTitle="Erro de valor" error="Digite somente números inteiros maiores que 0." promptTitle="Solicitação nº:" prompt="Digite o número da Solicitação de Recursos deste CT/TC." sqref="I5:I6">
      <formula1>0</formula1>
    </dataValidation>
    <dataValidation allowBlank="1" showInputMessage="1" showErrorMessage="1" errorTitle="Erro de Entrada" error="Esse valor de Contrapartida implicará em um valor de Repasse negativo." sqref="M14"/>
    <dataValidation allowBlank="1" showInputMessage="1" showErrorMessage="1" prompt="Preencha os valores nas colunas à direita." sqref="Q11 M11:N11 Q16 M16:N16"/>
    <dataValidation type="decimal" errorStyle="warning" allowBlank="1" showInputMessage="1" showErrorMessage="1" errorTitle="Erro de Valor" error="Valor menor que 0,00 ou maior que o valor de Investimento da Meta/SubMeta." sqref="Z11 Z16">
      <formula1>0</formula1>
      <formula2>$J11</formula2>
    </dataValidation>
    <dataValidation type="decimal" errorStyle="warning" allowBlank="1" showInputMessage="1" showErrorMessage="1" errorTitle="Erro de Valor" error="Permitida somente a entrada de valores para Metas/SubMetas com a situação &quot;Licitado / Em Execução&quot;._x000a_Os valores devem ser menores ou iguais ao valor de Investimento da Meta / SubMeta." sqref="AC11:AZ11 AC16:AZ16">
      <formula1>0</formula1>
      <formula2>IF(OR($E11="Licitado / em execução",$E11="Concluído"),$J11,0)</formula2>
    </dataValidation>
    <dataValidation type="whole" operator="greaterThan" allowBlank="1" showInputMessage="1" showErrorMessage="1" sqref="I11 I16">
      <formula1>0</formula1>
    </dataValidation>
  </dataValidations>
  <pageMargins left="0.78740157480314965" right="0.78740157480314965" top="0.78740157480314965" bottom="0.78740157480314965" header="0.59055118110236227" footer="0.59055118110236227"/>
  <pageSetup paperSize="9" scale="70" fitToHeight="0" orientation="landscape" r:id="rId1"/>
  <headerFooter alignWithMargins="0">
    <oddHeader>&amp;C&amp;14I</oddHeader>
    <oddFooter>&amp;R&amp;N&amp;L41.211 v009  micro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>
    <pageSetUpPr fitToPage="1"/>
  </sheetPr>
  <dimension ref="A1:M55"/>
  <sheetViews>
    <sheetView showGridLines="0" view="pageBreakPreview" zoomScale="115" zoomScaleNormal="100" zoomScaleSheetLayoutView="115" workbookViewId="0">
      <selection sqref="A1:B4"/>
    </sheetView>
  </sheetViews>
  <sheetFormatPr defaultColWidth="9.109375" defaultRowHeight="13.2" x14ac:dyDescent="0.25"/>
  <cols>
    <col min="1" max="1" width="15.6640625" style="16" customWidth="1"/>
    <col min="2" max="2" width="6.6640625" style="16" customWidth="1"/>
    <col min="3" max="4" width="20.6640625" style="16" customWidth="1"/>
    <col min="5" max="5" width="8.6640625" style="16" customWidth="1"/>
    <col min="6" max="6" width="12.6640625" style="16" customWidth="1"/>
    <col min="7" max="7" width="15.6640625" style="16" customWidth="1"/>
    <col min="8" max="8" width="41.6640625" style="16" customWidth="1"/>
    <col min="9" max="9" width="15.6640625" style="16" customWidth="1"/>
    <col min="10" max="10" width="13.6640625" style="16" customWidth="1"/>
    <col min="11" max="11" width="12.6640625" style="16" customWidth="1"/>
    <col min="12" max="13" width="9.109375" style="16" hidden="1" customWidth="1"/>
    <col min="14" max="16384" width="9.109375" style="16"/>
  </cols>
  <sheetData>
    <row r="1" spans="1:13" x14ac:dyDescent="0.25">
      <c r="A1" s="574"/>
      <c r="B1" s="574"/>
      <c r="C1" s="206"/>
      <c r="D1" s="206"/>
      <c r="E1" s="206"/>
      <c r="F1" s="248" t="s">
        <v>116</v>
      </c>
      <c r="G1" s="206"/>
      <c r="H1" s="206"/>
      <c r="I1" s="206"/>
      <c r="J1" s="206"/>
      <c r="K1" s="206"/>
      <c r="L1" s="206"/>
      <c r="M1" s="206"/>
    </row>
    <row r="2" spans="1:13" x14ac:dyDescent="0.25">
      <c r="A2" s="574"/>
      <c r="B2" s="574"/>
      <c r="F2" s="249" t="s">
        <v>119</v>
      </c>
      <c r="K2" s="206"/>
      <c r="L2" s="206"/>
      <c r="M2" s="206"/>
    </row>
    <row r="3" spans="1:13" ht="25.5" customHeight="1" x14ac:dyDescent="0.25">
      <c r="A3" s="574"/>
      <c r="B3" s="574"/>
      <c r="C3" s="240"/>
      <c r="D3" s="240"/>
      <c r="E3" s="240"/>
      <c r="F3" s="247"/>
      <c r="G3" s="570"/>
      <c r="H3" s="570"/>
      <c r="I3" s="570"/>
      <c r="J3" s="570"/>
      <c r="K3" s="206"/>
      <c r="L3" s="206"/>
      <c r="M3" s="206"/>
    </row>
    <row r="4" spans="1:13" x14ac:dyDescent="0.25">
      <c r="A4" s="574"/>
      <c r="B4" s="574"/>
      <c r="K4" s="206"/>
      <c r="L4" s="206"/>
      <c r="M4" s="206"/>
    </row>
    <row r="5" spans="1:13" x14ac:dyDescent="0.25">
      <c r="A5" s="67"/>
      <c r="B5" s="67"/>
      <c r="C5" s="67"/>
      <c r="D5" s="67"/>
      <c r="E5" s="67"/>
      <c r="F5" s="206"/>
      <c r="G5" s="67"/>
      <c r="H5" s="67"/>
      <c r="I5" s="67"/>
      <c r="J5" s="67"/>
      <c r="K5" s="206"/>
      <c r="L5" s="206"/>
      <c r="M5" s="206"/>
    </row>
    <row r="6" spans="1:13" x14ac:dyDescent="0.25">
      <c r="A6" s="67" t="s">
        <v>165</v>
      </c>
      <c r="B6" s="572"/>
      <c r="C6" s="572"/>
      <c r="D6" s="67"/>
      <c r="E6" s="194" t="s">
        <v>201</v>
      </c>
      <c r="F6" s="206"/>
      <c r="G6" s="67"/>
      <c r="H6" s="67"/>
      <c r="I6" s="67"/>
      <c r="J6" s="67"/>
      <c r="K6" s="206"/>
      <c r="L6" s="206"/>
      <c r="M6" s="206"/>
    </row>
    <row r="7" spans="1:13" x14ac:dyDescent="0.25">
      <c r="A7" s="571" t="str">
        <f ca="1">CONCATENATE(RRE!$B$23,", ",TEXT(RRE!$J$23,"dd"" de ""mmmm"" de ""aaaa"))</f>
        <v>, 27 de setembro de 2024</v>
      </c>
      <c r="B7" s="571"/>
      <c r="C7" s="571"/>
      <c r="D7" s="571"/>
      <c r="E7" s="571"/>
      <c r="F7" s="571"/>
      <c r="G7" s="571" t="str">
        <f ca="1">A7</f>
        <v>, 27 de setembro de 2024</v>
      </c>
      <c r="H7" s="571"/>
      <c r="I7" s="571"/>
      <c r="J7" s="571"/>
      <c r="K7" s="206"/>
      <c r="L7" s="206"/>
      <c r="M7" s="206"/>
    </row>
    <row r="8" spans="1:13" x14ac:dyDescent="0.25">
      <c r="A8" s="17" t="s">
        <v>120</v>
      </c>
      <c r="B8" s="206"/>
      <c r="C8" s="206"/>
      <c r="D8"/>
      <c r="E8"/>
      <c r="F8" s="206"/>
      <c r="G8" s="17" t="s">
        <v>120</v>
      </c>
      <c r="H8" s="206"/>
      <c r="I8" s="15"/>
      <c r="J8" s="206"/>
      <c r="K8" s="206"/>
      <c r="L8" s="206"/>
      <c r="M8" s="206"/>
    </row>
    <row r="9" spans="1:13" x14ac:dyDescent="0.25">
      <c r="A9" s="570" t="s">
        <v>121</v>
      </c>
      <c r="B9" s="570"/>
      <c r="C9" s="570"/>
      <c r="D9"/>
      <c r="E9"/>
      <c r="F9" s="206"/>
      <c r="G9" s="17" t="s">
        <v>121</v>
      </c>
      <c r="H9" s="206"/>
      <c r="I9" s="15"/>
      <c r="J9" s="206"/>
      <c r="K9" s="206"/>
      <c r="L9" s="206"/>
      <c r="M9" s="206"/>
    </row>
    <row r="10" spans="1:13" x14ac:dyDescent="0.25">
      <c r="A10" s="338" t="s">
        <v>141</v>
      </c>
      <c r="B10" s="566"/>
      <c r="C10" s="566"/>
      <c r="D10"/>
      <c r="E10"/>
      <c r="F10" s="206"/>
      <c r="G10" s="573" t="str">
        <f>CONCATENATE(A10," ",B10)</f>
        <v xml:space="preserve">GIGOV </v>
      </c>
      <c r="H10" s="573"/>
      <c r="I10" s="33"/>
      <c r="J10" s="33"/>
      <c r="K10" s="206"/>
      <c r="L10" s="206"/>
      <c r="M10" s="206"/>
    </row>
    <row r="11" spans="1:13" x14ac:dyDescent="0.25">
      <c r="A11" s="33"/>
      <c r="B11" s="33"/>
      <c r="C11" s="33"/>
      <c r="D11" s="33"/>
      <c r="E11" s="33"/>
      <c r="F11" s="206"/>
      <c r="G11" s="206"/>
      <c r="H11" s="33"/>
      <c r="I11" s="33"/>
      <c r="J11" s="33"/>
      <c r="K11" s="206"/>
      <c r="L11" s="206"/>
      <c r="M11" s="206"/>
    </row>
    <row r="12" spans="1:13" x14ac:dyDescent="0.25">
      <c r="A12" s="206"/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</row>
    <row r="13" spans="1:13" x14ac:dyDescent="0.25">
      <c r="A13" s="17" t="s">
        <v>122</v>
      </c>
      <c r="B13" s="570" t="str">
        <f>CONCATENATE("Solicitação de autorização de ",IF(DADOS!$J$22="FGTS","desembolso","desbloqueio")," de recursos  - Medição n° ",RRE!$I$5)</f>
        <v>Solicitação de autorização de desbloqueio de recursos  - Medição n° 1</v>
      </c>
      <c r="C13" s="570"/>
      <c r="D13" s="570"/>
      <c r="E13" s="570"/>
      <c r="F13" s="570"/>
      <c r="G13" s="17" t="s">
        <v>122</v>
      </c>
      <c r="H13" s="17" t="str">
        <f>CONCATENATE("Relação de Fornecedores - Medição n° ",RRE!$I$5)</f>
        <v>Relação de Fornecedores - Medição n° 1</v>
      </c>
      <c r="I13" s="17"/>
      <c r="J13" s="206"/>
      <c r="K13" s="206"/>
      <c r="L13" s="206"/>
      <c r="M13" s="206"/>
    </row>
    <row r="14" spans="1:13" x14ac:dyDescent="0.25">
      <c r="A14" s="17" t="s">
        <v>123</v>
      </c>
      <c r="B14" s="565" t="str">
        <f>CONCATENATE(IF(DADOS!$J$22="FGTS","Contrato de Financiamento",IF(DADOS!$J$22="OGU PAC","Termo de Compromisso","Contrato de Repasse"))," - Operação nº: ",DADOS!$A$22,IF(DADOS!$B$22="","",CONCATENATE(" - SICONV nº: ",DADOS!$B$22)))</f>
        <v>Contrato de Repasse - Operação nº: 958858/2024</v>
      </c>
      <c r="C14" s="565"/>
      <c r="D14" s="565"/>
      <c r="E14" s="565"/>
      <c r="F14" s="565"/>
      <c r="G14" s="17" t="s">
        <v>123</v>
      </c>
      <c r="H14" s="240" t="str">
        <f>B14</f>
        <v>Contrato de Repasse - Operação nº: 958858/2024</v>
      </c>
      <c r="I14" s="240"/>
      <c r="J14" s="51"/>
      <c r="K14" s="206"/>
      <c r="L14" s="206"/>
      <c r="M14" s="206"/>
    </row>
    <row r="15" spans="1:13" x14ac:dyDescent="0.25">
      <c r="A15" s="206"/>
      <c r="B15" s="206"/>
      <c r="C15" s="206"/>
      <c r="D15" s="206"/>
      <c r="E15" s="206"/>
      <c r="F15" s="206"/>
      <c r="G15" s="206"/>
      <c r="H15" s="206"/>
      <c r="I15" s="34"/>
      <c r="J15" s="206"/>
      <c r="K15" s="206"/>
      <c r="L15" s="206"/>
      <c r="M15" s="206"/>
    </row>
    <row r="16" spans="1:13" x14ac:dyDescent="0.25">
      <c r="A16" s="16" t="s">
        <v>205</v>
      </c>
      <c r="B16" s="550">
        <f>DADOS!$E$22</f>
        <v>0</v>
      </c>
      <c r="C16" s="550"/>
      <c r="D16" s="550"/>
      <c r="E16" s="550"/>
      <c r="F16" s="550"/>
      <c r="G16" s="16" t="s">
        <v>205</v>
      </c>
      <c r="H16" s="550">
        <f>B16</f>
        <v>0</v>
      </c>
      <c r="I16" s="550"/>
      <c r="J16" s="550"/>
      <c r="K16" s="206"/>
      <c r="L16" s="206"/>
      <c r="M16" s="206"/>
    </row>
    <row r="17" spans="1:13" ht="37.5" customHeight="1" x14ac:dyDescent="0.25">
      <c r="A17" s="223" t="s">
        <v>124</v>
      </c>
      <c r="B17" s="553" t="str">
        <f>DADOS!$A$28</f>
        <v>PAVIMENTAÇÃO EM ACESSO AO CENTRO DE EVENTOS DA LINHA TUNAS</v>
      </c>
      <c r="C17" s="553"/>
      <c r="D17" s="553"/>
      <c r="E17" s="553"/>
      <c r="F17" s="553"/>
      <c r="G17" s="223" t="s">
        <v>124</v>
      </c>
      <c r="H17" s="553" t="str">
        <f>B17</f>
        <v>PAVIMENTAÇÃO EM ACESSO AO CENTRO DE EVENTOS DA LINHA TUNAS</v>
      </c>
      <c r="I17" s="553"/>
      <c r="J17" s="553"/>
      <c r="K17" s="50"/>
      <c r="L17" s="206"/>
      <c r="M17" s="206"/>
    </row>
    <row r="18" spans="1:13" x14ac:dyDescent="0.25">
      <c r="A18" s="552" t="str">
        <f>IF(DADOS!$J$22="OGU não-PAC","Proponente / Tomador:","Proponente / Compromissário:")</f>
        <v>Proponente / Tomador:</v>
      </c>
      <c r="B18" s="551" t="str">
        <f>DADOS!$A$25</f>
        <v xml:space="preserve">MUNICPIO DE RONDINHA </v>
      </c>
      <c r="C18" s="551"/>
      <c r="D18" s="551"/>
      <c r="E18" s="551"/>
      <c r="F18" s="551"/>
      <c r="G18" s="552" t="str">
        <f>A18</f>
        <v>Proponente / Tomador:</v>
      </c>
      <c r="H18" s="551" t="str">
        <f>B18</f>
        <v xml:space="preserve">MUNICPIO DE RONDINHA </v>
      </c>
      <c r="I18" s="551"/>
      <c r="J18" s="551"/>
      <c r="K18" s="51"/>
      <c r="L18" s="206"/>
      <c r="M18" s="206"/>
    </row>
    <row r="19" spans="1:13" x14ac:dyDescent="0.25">
      <c r="A19" s="552"/>
      <c r="B19" s="551"/>
      <c r="C19" s="551"/>
      <c r="D19" s="551"/>
      <c r="E19" s="551"/>
      <c r="F19" s="551"/>
      <c r="G19" s="552"/>
      <c r="H19" s="551"/>
      <c r="I19" s="551"/>
      <c r="J19" s="551"/>
      <c r="K19" s="206"/>
      <c r="L19" s="206"/>
      <c r="M19" s="206"/>
    </row>
    <row r="20" spans="1:13" x14ac:dyDescent="0.25">
      <c r="A20" s="206"/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</row>
    <row r="21" spans="1:13" ht="12.75" customHeight="1" x14ac:dyDescent="0.25">
      <c r="A21" s="207" t="str">
        <f>IF(A10="GIGOV","Senhor Gerente","Senhor Superintendente")</f>
        <v>Senhor Gerente</v>
      </c>
      <c r="B21" s="207"/>
      <c r="C21" s="206"/>
      <c r="D21" s="206"/>
      <c r="E21" s="206"/>
      <c r="F21" s="206"/>
      <c r="G21" s="554" t="s">
        <v>164</v>
      </c>
      <c r="H21" s="554"/>
      <c r="I21" s="554"/>
      <c r="J21" s="554"/>
      <c r="K21" s="208"/>
      <c r="L21" s="206"/>
      <c r="M21" s="206"/>
    </row>
    <row r="22" spans="1:13" x14ac:dyDescent="0.25">
      <c r="A22" s="206"/>
      <c r="B22" s="206"/>
      <c r="C22" s="206"/>
      <c r="D22" s="206"/>
      <c r="E22" s="206"/>
      <c r="F22" s="206"/>
      <c r="G22" s="554"/>
      <c r="H22" s="554"/>
      <c r="I22" s="554"/>
      <c r="J22" s="554"/>
      <c r="K22" s="209"/>
      <c r="L22" s="206" t="s">
        <v>129</v>
      </c>
      <c r="M22" s="206" t="s">
        <v>130</v>
      </c>
    </row>
    <row r="23" spans="1:13" ht="12.75" customHeight="1" x14ac:dyDescent="0.25">
      <c r="A23" s="569" t="str">
        <f>CONCATENATE("1. Vimos pelo presente, solicitar à Caixa Econômica Federal autorização para ",IF(DADOS!$J$22="FGTS","desembolso","desbloqueio")," da parcela de recursos relativa ao ",IF(DADOS!$J$22="FGTS","Contrato de Financiamento",IF(DADOS!$J$22="OGU PAC","Termo de Compromisso","Contrato de Repasse")),"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B23" s="569"/>
      <c r="C23" s="569"/>
      <c r="D23" s="569"/>
      <c r="E23" s="569"/>
      <c r="F23" s="569"/>
      <c r="G23" s="210" t="s">
        <v>128</v>
      </c>
      <c r="H23" s="211" t="s">
        <v>125</v>
      </c>
      <c r="I23" s="212" t="s">
        <v>204</v>
      </c>
      <c r="J23" s="212" t="s">
        <v>126</v>
      </c>
      <c r="K23" s="206"/>
      <c r="L23" s="206"/>
      <c r="M23" s="206"/>
    </row>
    <row r="24" spans="1:13" x14ac:dyDescent="0.25">
      <c r="A24" s="569"/>
      <c r="B24" s="569"/>
      <c r="C24" s="569"/>
      <c r="D24" s="569"/>
      <c r="E24" s="569"/>
      <c r="F24" s="569"/>
      <c r="G24" s="350" t="str">
        <f t="shared" ref="G24:G45" ca="1" si="0">IF(ISERROR($M24),"",$M24)</f>
        <v/>
      </c>
      <c r="H24" s="348" t="str">
        <f ca="1">IF($G24="","",IF(COUNTIF(DADOS!$B$56:$B$77,Ofício!$G24)=0,"(cadastre na aba Dados)",VLOOKUP(Ofício!$G24,DADOS!$B$56:$F$77,2,FALSE)))</f>
        <v/>
      </c>
      <c r="I24" s="349" t="str">
        <f ca="1">IF(OR($G24="",COUNTIF(DADOS!$B$56:$B$77,Ofício!$G24)=0),"",VLOOKUP(Ofício!$G24,DADOS!$B$56:$F$77,5,FALSE))</f>
        <v/>
      </c>
      <c r="J24" s="213" t="str">
        <f ca="1">IF(ISERROR(M24),"",SUMIF(RRE!$H$15:$H$17,Ofício!G24,RRE!$N$15:$N$17))</f>
        <v/>
      </c>
      <c r="K24" s="206"/>
      <c r="L24" s="214">
        <f ca="1">OFFSET(L24,-1,0)+1</f>
        <v>1</v>
      </c>
      <c r="M24" s="206" t="e">
        <f ca="1">INDEX(RRE!$H$15:$H$17,MATCH(Ofício!L24,RRE!$U$15:$U$17,0))</f>
        <v>#N/A</v>
      </c>
    </row>
    <row r="25" spans="1:13" x14ac:dyDescent="0.25">
      <c r="A25" s="569"/>
      <c r="B25" s="569"/>
      <c r="C25" s="569"/>
      <c r="D25" s="569"/>
      <c r="E25" s="569"/>
      <c r="F25" s="569"/>
      <c r="G25" s="351" t="str">
        <f t="shared" ca="1" si="0"/>
        <v/>
      </c>
      <c r="H25" s="352" t="str">
        <f ca="1">IF($G25="","",IF(COUNTIF(DADOS!$B$56:$B$77,Ofício!$G25)=0,"(cadastre na aba Dados)",VLOOKUP(Ofício!$G25,DADOS!$B$56:$F$77,2,FALSE)))</f>
        <v/>
      </c>
      <c r="I25" s="353" t="str">
        <f ca="1">IF(OR($G25="",COUNTIF(DADOS!$B$56:$B$77,Ofício!$G25)=0),"",VLOOKUP(Ofício!$G25,DADOS!$B$56:$F$77,5,FALSE))</f>
        <v/>
      </c>
      <c r="J25" s="215" t="str">
        <f ca="1">IF(ISERROR(M25),"",SUMIF(RRE!$H$15:$H$17,Ofício!G25,RRE!$N$15:$N$17))</f>
        <v/>
      </c>
      <c r="K25" s="206"/>
      <c r="L25" s="214">
        <f t="shared" ref="L25:L45" ca="1" si="1">OFFSET(L25,-1,0)+1</f>
        <v>2</v>
      </c>
      <c r="M25" s="206" t="e">
        <f ca="1">INDEX(RRE!$H$15:$H$17,MATCH(Ofício!L25,RRE!$U$15:$U$17,0))</f>
        <v>#N/A</v>
      </c>
    </row>
    <row r="26" spans="1:13" x14ac:dyDescent="0.25">
      <c r="A26" s="206"/>
      <c r="B26" s="206"/>
      <c r="C26" s="206"/>
      <c r="D26" s="206"/>
      <c r="E26" s="206"/>
      <c r="F26" s="206"/>
      <c r="G26" s="351" t="str">
        <f t="shared" ca="1" si="0"/>
        <v/>
      </c>
      <c r="H26" s="352" t="str">
        <f ca="1">IF($G26="","",IF(COUNTIF(DADOS!$B$56:$B$77,Ofício!$G26)=0,"(cadastre na aba Dados)",VLOOKUP(Ofício!$G26,DADOS!$B$56:$F$77,2,FALSE)))</f>
        <v/>
      </c>
      <c r="I26" s="353" t="str">
        <f ca="1">IF(OR($G26="",COUNTIF(DADOS!$B$56:$B$77,Ofício!$G26)=0),"",VLOOKUP(Ofício!$G26,DADOS!$B$56:$F$77,5,FALSE))</f>
        <v/>
      </c>
      <c r="J26" s="215" t="str">
        <f ca="1">IF(ISERROR(M26),"",SUMIF(RRE!$H$15:$H$17,Ofício!G26,RRE!$N$15:$N$17))</f>
        <v/>
      </c>
      <c r="K26" s="206"/>
      <c r="L26" s="214">
        <f t="shared" ca="1" si="1"/>
        <v>3</v>
      </c>
      <c r="M26" s="206" t="e">
        <f ca="1">INDEX(RRE!$H$15:$H$17,MATCH(Ofício!L26,RRE!$U$15:$U$17,0))</f>
        <v>#N/A</v>
      </c>
    </row>
    <row r="27" spans="1:13" ht="12.75" customHeight="1" x14ac:dyDescent="0.25">
      <c r="A27" s="561"/>
      <c r="B27" s="562"/>
      <c r="C27" s="555" t="s">
        <v>203</v>
      </c>
      <c r="D27" s="555" t="str">
        <f>CONCATENATE("Evolução da ",RRE!$I$5,"ª Medição")</f>
        <v>Evolução da 1ª Medição</v>
      </c>
      <c r="E27" s="557" t="s">
        <v>202</v>
      </c>
      <c r="F27" s="558"/>
      <c r="G27" s="351" t="str">
        <f t="shared" ca="1" si="0"/>
        <v/>
      </c>
      <c r="H27" s="352" t="str">
        <f ca="1">IF($G27="","",IF(COUNTIF(DADOS!$B$56:$B$77,Ofício!$G27)=0,"(cadastre na aba Dados)",VLOOKUP(Ofício!$G27,DADOS!$B$56:$F$77,2,FALSE)))</f>
        <v/>
      </c>
      <c r="I27" s="353" t="str">
        <f ca="1">IF(OR($G27="",COUNTIF(DADOS!$B$56:$B$77,Ofício!$G27)=0),"",VLOOKUP(Ofício!$G27,DADOS!$B$56:$F$77,5,FALSE))</f>
        <v/>
      </c>
      <c r="J27" s="215" t="str">
        <f ca="1">IF(ISERROR(M27),"",SUMIF(RRE!$H$15:$H$17,Ofício!G27,RRE!$N$15:$N$17))</f>
        <v/>
      </c>
      <c r="K27" s="206"/>
      <c r="L27" s="214">
        <f t="shared" ca="1" si="1"/>
        <v>4</v>
      </c>
      <c r="M27" s="206" t="e">
        <f ca="1">INDEX(RRE!$H$15:$H$17,MATCH(Ofício!L27,RRE!$U$15:$U$17,0))</f>
        <v>#N/A</v>
      </c>
    </row>
    <row r="28" spans="1:13" x14ac:dyDescent="0.25">
      <c r="A28" s="563"/>
      <c r="B28" s="564"/>
      <c r="C28" s="556"/>
      <c r="D28" s="556"/>
      <c r="E28" s="559"/>
      <c r="F28" s="560"/>
      <c r="G28" s="351" t="str">
        <f t="shared" ca="1" si="0"/>
        <v/>
      </c>
      <c r="H28" s="352" t="str">
        <f ca="1">IF($G28="","",IF(COUNTIF(DADOS!$B$56:$B$77,Ofício!$G28)=0,"(cadastre na aba Dados)",VLOOKUP(Ofício!$G28,DADOS!$B$56:$F$77,2,FALSE)))</f>
        <v/>
      </c>
      <c r="I28" s="353" t="str">
        <f ca="1">IF(OR($G28="",COUNTIF(DADOS!$B$56:$B$77,Ofício!$G28)=0),"",VLOOKUP(Ofício!$G28,DADOS!$B$56:$F$77,5,FALSE))</f>
        <v/>
      </c>
      <c r="J28" s="215" t="str">
        <f ca="1">IF(ISERROR(M28),"",SUMIF(RRE!$H$15:$H$17,Ofício!G28,RRE!$N$15:$N$17))</f>
        <v/>
      </c>
      <c r="K28" s="206"/>
      <c r="L28" s="214">
        <f t="shared" ca="1" si="1"/>
        <v>5</v>
      </c>
      <c r="M28" s="206" t="e">
        <f ca="1">INDEX(RRE!$H$15:$H$17,MATCH(Ofício!L28,RRE!$U$15:$U$17,0))</f>
        <v>#N/A</v>
      </c>
    </row>
    <row r="29" spans="1:13" x14ac:dyDescent="0.25">
      <c r="A29" s="543" t="str">
        <f>CONCATENATE(QCI!$L$9,":")</f>
        <v>Repasse:</v>
      </c>
      <c r="B29" s="544"/>
      <c r="C29" s="193">
        <f ca="1">RRE!J12</f>
        <v>668500</v>
      </c>
      <c r="D29" s="193">
        <f ca="1">RRE!N12</f>
        <v>0</v>
      </c>
      <c r="E29" s="545">
        <f ca="1">RRE!Q12</f>
        <v>0</v>
      </c>
      <c r="F29" s="546"/>
      <c r="G29" s="351" t="str">
        <f t="shared" ca="1" si="0"/>
        <v/>
      </c>
      <c r="H29" s="352" t="str">
        <f ca="1">IF($G29="","",IF(COUNTIF(DADOS!$B$56:$B$77,Ofício!$G29)=0,"(cadastre na aba Dados)",VLOOKUP(Ofício!$G29,DADOS!$B$56:$F$77,2,FALSE)))</f>
        <v/>
      </c>
      <c r="I29" s="353" t="str">
        <f ca="1">IF(OR($G29="",COUNTIF(DADOS!$B$56:$B$77,Ofício!$G29)=0),"",VLOOKUP(Ofício!$G29,DADOS!$B$56:$F$77,5,FALSE))</f>
        <v/>
      </c>
      <c r="J29" s="215" t="str">
        <f ca="1">IF(ISERROR(M29),"",SUMIF(RRE!$H$15:$H$17,Ofício!G29,RRE!$N$15:$N$17))</f>
        <v/>
      </c>
      <c r="K29" s="206"/>
      <c r="L29" s="214">
        <f t="shared" ca="1" si="1"/>
        <v>6</v>
      </c>
      <c r="M29" s="206" t="e">
        <f ca="1">INDEX(RRE!$H$15:$H$17,MATCH(Ofício!L29,RRE!$U$15:$U$17,0))</f>
        <v>#N/A</v>
      </c>
    </row>
    <row r="30" spans="1:13" x14ac:dyDescent="0.25">
      <c r="A30" s="543" t="s">
        <v>146</v>
      </c>
      <c r="B30" s="544"/>
      <c r="C30" s="193">
        <f ca="1">RRE!J13</f>
        <v>333429.02</v>
      </c>
      <c r="D30" s="193">
        <f ca="1">RRE!N13</f>
        <v>0</v>
      </c>
      <c r="E30" s="545">
        <f ca="1">RRE!Q13</f>
        <v>0</v>
      </c>
      <c r="F30" s="546"/>
      <c r="G30" s="351" t="str">
        <f t="shared" ca="1" si="0"/>
        <v/>
      </c>
      <c r="H30" s="352" t="str">
        <f ca="1">IF($G30="","",IF(COUNTIF(DADOS!$B$56:$B$77,Ofício!$G30)=0,"(cadastre na aba Dados)",VLOOKUP(Ofício!$G30,DADOS!$B$56:$F$77,2,FALSE)))</f>
        <v/>
      </c>
      <c r="I30" s="353" t="str">
        <f ca="1">IF(OR($G30="",COUNTIF(DADOS!$B$56:$B$77,Ofício!$G30)=0),"",VLOOKUP(Ofício!$G30,DADOS!$B$56:$F$77,5,FALSE))</f>
        <v/>
      </c>
      <c r="J30" s="215" t="str">
        <f ca="1">IF(ISERROR(M30),"",SUMIF(RRE!$H$15:$H$17,Ofício!G30,RRE!$N$15:$N$17))</f>
        <v/>
      </c>
      <c r="K30" s="206"/>
      <c r="L30" s="214">
        <f t="shared" ca="1" si="1"/>
        <v>7</v>
      </c>
      <c r="M30" s="206" t="e">
        <f ca="1">INDEX(RRE!$H$15:$H$17,MATCH(Ofício!L30,RRE!$U$15:$U$17,0))</f>
        <v>#N/A</v>
      </c>
    </row>
    <row r="31" spans="1:13" x14ac:dyDescent="0.25">
      <c r="A31" s="543" t="str">
        <f>CONCATENATE(QCI!$N$9,":")</f>
        <v>Outros:</v>
      </c>
      <c r="B31" s="544"/>
      <c r="C31" s="193">
        <f ca="1">RRE!J14</f>
        <v>0</v>
      </c>
      <c r="D31" s="193">
        <f ca="1">RRE!N14</f>
        <v>0</v>
      </c>
      <c r="E31" s="545">
        <f ca="1">RRE!Q14</f>
        <v>0</v>
      </c>
      <c r="F31" s="546"/>
      <c r="G31" s="351" t="str">
        <f t="shared" ca="1" si="0"/>
        <v/>
      </c>
      <c r="H31" s="352" t="str">
        <f ca="1">IF($G31="","",IF(COUNTIF(DADOS!$B$56:$B$77,Ofício!$G31)=0,"(cadastre na aba Dados)",VLOOKUP(Ofício!$G31,DADOS!$B$56:$F$77,2,FALSE)))</f>
        <v/>
      </c>
      <c r="I31" s="353" t="str">
        <f ca="1">IF(OR($G31="",COUNTIF(DADOS!$B$56:$B$77,Ofício!$G31)=0),"",VLOOKUP(Ofício!$G31,DADOS!$B$56:$F$77,5,FALSE))</f>
        <v/>
      </c>
      <c r="J31" s="215" t="str">
        <f ca="1">IF(ISERROR(M31),"",SUMIF(RRE!$H$15:$H$17,Ofício!G31,RRE!$N$15:$N$17))</f>
        <v/>
      </c>
      <c r="K31" s="206"/>
      <c r="L31" s="214">
        <f t="shared" ca="1" si="1"/>
        <v>8</v>
      </c>
      <c r="M31" s="206" t="e">
        <f ca="1">INDEX(RRE!$H$15:$H$17,MATCH(Ofício!L31,RRE!$U$15:$U$17,0))</f>
        <v>#N/A</v>
      </c>
    </row>
    <row r="32" spans="1:13" x14ac:dyDescent="0.25">
      <c r="A32" s="543" t="s">
        <v>147</v>
      </c>
      <c r="B32" s="544"/>
      <c r="C32" s="193">
        <f ca="1">RRE!J15</f>
        <v>1001929.02</v>
      </c>
      <c r="D32" s="193">
        <f ca="1">RRE!N15</f>
        <v>0</v>
      </c>
      <c r="E32" s="545">
        <f ca="1">RRE!Q15</f>
        <v>0</v>
      </c>
      <c r="F32" s="546"/>
      <c r="G32" s="351" t="str">
        <f t="shared" ca="1" si="0"/>
        <v/>
      </c>
      <c r="H32" s="352" t="str">
        <f ca="1">IF($G32="","",IF(COUNTIF(DADOS!$B$56:$B$77,Ofício!$G32)=0,"(cadastre na aba Dados)",VLOOKUP(Ofício!$G32,DADOS!$B$56:$F$77,2,FALSE)))</f>
        <v/>
      </c>
      <c r="I32" s="353" t="str">
        <f ca="1">IF(OR($G32="",COUNTIF(DADOS!$B$56:$B$77,Ofício!$G32)=0),"",VLOOKUP(Ofício!$G32,DADOS!$B$56:$F$77,5,FALSE))</f>
        <v/>
      </c>
      <c r="J32" s="215" t="str">
        <f ca="1">IF(ISERROR(M32),"",SUMIF(RRE!$H$15:$H$17,Ofício!G32,RRE!$N$15:$N$17))</f>
        <v/>
      </c>
      <c r="K32" s="206"/>
      <c r="L32" s="214">
        <f t="shared" ca="1" si="1"/>
        <v>9</v>
      </c>
      <c r="M32" s="206" t="e">
        <f ca="1">INDEX(RRE!$H$15:$H$17,MATCH(Ofício!L32,RRE!$U$15:$U$17,0))</f>
        <v>#N/A</v>
      </c>
    </row>
    <row r="33" spans="1:13" x14ac:dyDescent="0.25">
      <c r="A33" s="547" t="s">
        <v>145</v>
      </c>
      <c r="B33" s="548"/>
      <c r="C33" s="204" t="s">
        <v>200</v>
      </c>
      <c r="D33" s="204">
        <f ca="1">RRE!N15/(RRE!J15+10^-12)</f>
        <v>0</v>
      </c>
      <c r="E33" s="567">
        <f ca="1">RRE!R12</f>
        <v>0</v>
      </c>
      <c r="F33" s="568"/>
      <c r="G33" s="351" t="str">
        <f t="shared" ca="1" si="0"/>
        <v/>
      </c>
      <c r="H33" s="352" t="str">
        <f ca="1">IF($G33="","",IF(COUNTIF(DADOS!$B$56:$B$77,Ofício!$G33)=0,"(cadastre na aba Dados)",VLOOKUP(Ofício!$G33,DADOS!$B$56:$F$77,2,FALSE)))</f>
        <v/>
      </c>
      <c r="I33" s="353" t="str">
        <f ca="1">IF(OR($G33="",COUNTIF(DADOS!$B$56:$B$77,Ofício!$G33)=0),"",VLOOKUP(Ofício!$G33,DADOS!$B$56:$F$77,5,FALSE))</f>
        <v/>
      </c>
      <c r="J33" s="215" t="str">
        <f ca="1">IF(ISERROR(M33),"",SUMIF(RRE!$H$15:$H$17,Ofício!G33,RRE!$N$15:$N$17))</f>
        <v/>
      </c>
      <c r="K33" s="206"/>
      <c r="L33" s="214">
        <f t="shared" ca="1" si="1"/>
        <v>10</v>
      </c>
      <c r="M33" s="206" t="e">
        <f ca="1">INDEX(RRE!$H$15:$H$17,MATCH(Ofício!L33,RRE!$U$15:$U$17,0))</f>
        <v>#N/A</v>
      </c>
    </row>
    <row r="34" spans="1:13" x14ac:dyDescent="0.25">
      <c r="A34" s="216"/>
      <c r="B34" s="206"/>
      <c r="C34" s="206"/>
      <c r="D34" s="206"/>
      <c r="E34" s="206"/>
      <c r="F34" s="206"/>
      <c r="G34" s="351" t="str">
        <f t="shared" ca="1" si="0"/>
        <v/>
      </c>
      <c r="H34" s="352" t="str">
        <f ca="1">IF($G34="","",IF(COUNTIF(DADOS!$B$56:$B$77,Ofício!$G34)=0,"(cadastre na aba Dados)",VLOOKUP(Ofício!$G34,DADOS!$B$56:$F$77,2,FALSE)))</f>
        <v/>
      </c>
      <c r="I34" s="353" t="str">
        <f ca="1">IF(OR($G34="",COUNTIF(DADOS!$B$56:$B$77,Ofício!$G34)=0),"",VLOOKUP(Ofício!$G34,DADOS!$B$56:$F$77,5,FALSE))</f>
        <v/>
      </c>
      <c r="J34" s="215" t="str">
        <f ca="1">IF(ISERROR(M34),"",SUMIF(RRE!$H$15:$H$17,Ofício!G34,RRE!$N$15:$N$17))</f>
        <v/>
      </c>
      <c r="K34" s="206"/>
      <c r="L34" s="214">
        <f t="shared" ca="1" si="1"/>
        <v>11</v>
      </c>
      <c r="M34" s="206" t="e">
        <f ca="1">INDEX(RRE!$H$15:$H$17,MATCH(Ofício!L34,RRE!$U$15:$U$17,0))</f>
        <v>#N/A</v>
      </c>
    </row>
    <row r="35" spans="1:13" x14ac:dyDescent="0.25">
      <c r="A35" s="216"/>
      <c r="B35" s="216"/>
      <c r="C35" s="216"/>
      <c r="D35" s="216"/>
      <c r="E35" s="216"/>
      <c r="F35" s="206"/>
      <c r="G35" s="351" t="str">
        <f t="shared" ca="1" si="0"/>
        <v/>
      </c>
      <c r="H35" s="352" t="str">
        <f ca="1">IF($G35="","",IF(COUNTIF(DADOS!$B$56:$B$77,Ofício!$G35)=0,"(cadastre na aba Dados)",VLOOKUP(Ofício!$G35,DADOS!$B$56:$F$77,2,FALSE)))</f>
        <v/>
      </c>
      <c r="I35" s="353" t="str">
        <f ca="1">IF(OR($G35="",COUNTIF(DADOS!$B$56:$B$77,Ofício!$G35)=0),"",VLOOKUP(Ofício!$G35,DADOS!$B$56:$F$77,5,FALSE))</f>
        <v/>
      </c>
      <c r="J35" s="215" t="str">
        <f ca="1">IF(ISERROR(M35),"",SUMIF(RRE!$H$15:$H$17,Ofício!G35,RRE!$N$15:$N$17))</f>
        <v/>
      </c>
      <c r="K35" s="206"/>
      <c r="L35" s="214">
        <f t="shared" ca="1" si="1"/>
        <v>12</v>
      </c>
      <c r="M35" s="206" t="e">
        <f ca="1">INDEX(RRE!$H$15:$H$17,MATCH(Ofício!L35,RRE!$U$15:$U$17,0))</f>
        <v>#N/A</v>
      </c>
    </row>
    <row r="36" spans="1:13" ht="12.75" customHeight="1" x14ac:dyDescent="0.25">
      <c r="A36" s="566" t="str">
        <f>IF(RRE.NumMedicao&gt;1,"2. Encaminhamos ainda a documentação relativa à prestação de contas da etapa físico-financeira anterior.","")</f>
        <v/>
      </c>
      <c r="B36" s="566"/>
      <c r="C36" s="566"/>
      <c r="D36" s="566"/>
      <c r="E36" s="566"/>
      <c r="F36" s="566"/>
      <c r="G36" s="351" t="str">
        <f t="shared" ca="1" si="0"/>
        <v/>
      </c>
      <c r="H36" s="352" t="str">
        <f ca="1">IF($G36="","",IF(COUNTIF(DADOS!$B$56:$B$77,Ofício!$G36)=0,"(cadastre na aba Dados)",VLOOKUP(Ofício!$G36,DADOS!$B$56:$F$77,2,FALSE)))</f>
        <v/>
      </c>
      <c r="I36" s="353" t="str">
        <f ca="1">IF(OR($G36="",COUNTIF(DADOS!$B$56:$B$77,Ofício!$G36)=0),"",VLOOKUP(Ofício!$G36,DADOS!$B$56:$F$77,5,FALSE))</f>
        <v/>
      </c>
      <c r="J36" s="215" t="str">
        <f ca="1">IF(ISERROR(M36),"",SUMIF(RRE!$H$15:$H$17,Ofício!G36,RRE!$N$15:$N$17))</f>
        <v/>
      </c>
      <c r="K36" s="206"/>
      <c r="L36" s="214">
        <f t="shared" ca="1" si="1"/>
        <v>13</v>
      </c>
      <c r="M36" s="206" t="e">
        <f ca="1">INDEX(RRE!$H$15:$H$17,MATCH(Ofício!L36,RRE!$U$15:$U$17,0))</f>
        <v>#N/A</v>
      </c>
    </row>
    <row r="37" spans="1:13" ht="12.75" customHeight="1" x14ac:dyDescent="0.25">
      <c r="A37" s="566"/>
      <c r="B37" s="566"/>
      <c r="C37" s="566"/>
      <c r="D37" s="566"/>
      <c r="E37" s="566"/>
      <c r="F37" s="566"/>
      <c r="G37" s="351" t="str">
        <f t="shared" ca="1" si="0"/>
        <v/>
      </c>
      <c r="H37" s="352" t="str">
        <f ca="1">IF($G37="","",IF(COUNTIF(DADOS!$B$56:$B$77,Ofício!$G37)=0,"(cadastre na aba Dados)",VLOOKUP(Ofício!$G37,DADOS!$B$56:$F$77,2,FALSE)))</f>
        <v/>
      </c>
      <c r="I37" s="353" t="str">
        <f ca="1">IF(OR($G37="",COUNTIF(DADOS!$B$56:$B$77,Ofício!$G37)=0),"",VLOOKUP(Ofício!$G37,DADOS!$B$56:$F$77,5,FALSE))</f>
        <v/>
      </c>
      <c r="J37" s="215" t="str">
        <f ca="1">IF(ISERROR(M37),"",SUMIF(RRE!$H$15:$H$17,Ofício!G37,RRE!$N$15:$N$17))</f>
        <v/>
      </c>
      <c r="K37" s="206"/>
      <c r="L37" s="214">
        <f t="shared" ca="1" si="1"/>
        <v>14</v>
      </c>
      <c r="M37" s="206" t="e">
        <f ca="1">INDEX(RRE!$H$15:$H$17,MATCH(Ofício!L37,RRE!$U$15:$U$17,0))</f>
        <v>#N/A</v>
      </c>
    </row>
    <row r="38" spans="1:13" ht="12.75" customHeight="1" x14ac:dyDescent="0.25">
      <c r="A38" s="549" t="str">
        <f ca="1">IF(AND(RRE.NumMedicao&gt;1,NOT(ISBLANK(Import.SICONV))),"3. Na oportunidade, informamos que a execução financeira da parcela anterior está devidamente comprovada no SICONV.","")</f>
        <v/>
      </c>
      <c r="B38" s="549"/>
      <c r="C38" s="549"/>
      <c r="D38" s="549"/>
      <c r="E38" s="549"/>
      <c r="F38" s="549"/>
      <c r="G38" s="351" t="str">
        <f t="shared" ca="1" si="0"/>
        <v/>
      </c>
      <c r="H38" s="352" t="str">
        <f ca="1">IF($G38="","",IF(COUNTIF(DADOS!$B$56:$B$77,Ofício!$G38)=0,"(cadastre na aba Dados)",VLOOKUP(Ofício!$G38,DADOS!$B$56:$F$77,2,FALSE)))</f>
        <v/>
      </c>
      <c r="I38" s="353" t="str">
        <f ca="1">IF(OR($G38="",COUNTIF(DADOS!$B$56:$B$77,Ofício!$G38)=0),"",VLOOKUP(Ofício!$G38,DADOS!$B$56:$F$77,5,FALSE))</f>
        <v/>
      </c>
      <c r="J38" s="215" t="str">
        <f ca="1">IF(ISERROR(M38),"",SUMIF(RRE!$H$15:$H$17,Ofício!G38,RRE!$N$15:$N$17))</f>
        <v/>
      </c>
      <c r="K38" s="206"/>
      <c r="L38" s="214">
        <f t="shared" ca="1" si="1"/>
        <v>15</v>
      </c>
      <c r="M38" s="206" t="e">
        <f ca="1">INDEX(RRE!$H$15:$H$17,MATCH(Ofício!L38,RRE!$U$15:$U$17,0))</f>
        <v>#N/A</v>
      </c>
    </row>
    <row r="39" spans="1:13" ht="12.75" customHeight="1" x14ac:dyDescent="0.25">
      <c r="A39" s="549"/>
      <c r="B39" s="549"/>
      <c r="C39" s="549"/>
      <c r="D39" s="549"/>
      <c r="E39" s="549"/>
      <c r="F39" s="549"/>
      <c r="G39" s="351" t="str">
        <f t="shared" ca="1" si="0"/>
        <v/>
      </c>
      <c r="H39" s="352" t="str">
        <f ca="1">IF($G39="","",IF(COUNTIF(DADOS!$B$56:$B$77,Ofício!$G39)=0,"(cadastre na aba Dados)",VLOOKUP(Ofício!$G39,DADOS!$B$56:$F$77,2,FALSE)))</f>
        <v/>
      </c>
      <c r="I39" s="353" t="str">
        <f ca="1">IF(OR($G39="",COUNTIF(DADOS!$B$56:$B$77,Ofício!$G39)=0),"",VLOOKUP(Ofício!$G39,DADOS!$B$56:$F$77,5,FALSE))</f>
        <v/>
      </c>
      <c r="J39" s="215" t="str">
        <f ca="1">IF(ISERROR(M39),"",SUMIF(RRE!$H$15:$H$17,Ofício!G39,RRE!$N$15:$N$17))</f>
        <v/>
      </c>
      <c r="K39" s="206"/>
      <c r="L39" s="214">
        <f t="shared" ca="1" si="1"/>
        <v>16</v>
      </c>
      <c r="M39" s="206" t="e">
        <f ca="1">INDEX(RRE!$H$15:$H$17,MATCH(Ofício!L39,RRE!$U$15:$U$17,0))</f>
        <v>#N/A</v>
      </c>
    </row>
    <row r="40" spans="1:13" ht="12.75" customHeight="1" x14ac:dyDescent="0.25">
      <c r="A40" s="337"/>
      <c r="B40" s="338"/>
      <c r="C40" s="338"/>
      <c r="D40" s="338"/>
      <c r="E40" s="338"/>
      <c r="F40" s="338"/>
      <c r="G40" s="351" t="str">
        <f t="shared" ca="1" si="0"/>
        <v/>
      </c>
      <c r="H40" s="352" t="str">
        <f ca="1">IF($G40="","",IF(COUNTIF(DADOS!$B$56:$B$77,Ofício!$G40)=0,"(cadastre na aba Dados)",VLOOKUP(Ofício!$G40,DADOS!$B$56:$F$77,2,FALSE)))</f>
        <v/>
      </c>
      <c r="I40" s="353" t="str">
        <f ca="1">IF(OR($G40="",COUNTIF(DADOS!$B$56:$B$77,Ofício!$G40)=0),"",VLOOKUP(Ofício!$G40,DADOS!$B$56:$F$77,5,FALSE))</f>
        <v/>
      </c>
      <c r="J40" s="215" t="str">
        <f ca="1">IF(ISERROR(M40),"",SUMIF(RRE!$H$15:$H$17,Ofício!G40,RRE!$N$15:$N$17))</f>
        <v/>
      </c>
      <c r="K40" s="206"/>
      <c r="L40" s="214">
        <f t="shared" ca="1" si="1"/>
        <v>17</v>
      </c>
      <c r="M40" s="206" t="e">
        <f ca="1">INDEX(RRE!$H$15:$H$17,MATCH(Ofício!L40,RRE!$U$15:$U$17,0))</f>
        <v>#N/A</v>
      </c>
    </row>
    <row r="41" spans="1:13" x14ac:dyDescent="0.25">
      <c r="A41" s="549" t="str">
        <f ca="1">IF($A$23="",0,1)+IF($A$36="",0,1)+IF($A$38="",0,1)+1&amp;".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B41" s="549"/>
      <c r="C41" s="549"/>
      <c r="D41" s="549"/>
      <c r="E41" s="549"/>
      <c r="F41" s="549"/>
      <c r="G41" s="351" t="str">
        <f t="shared" ca="1" si="0"/>
        <v/>
      </c>
      <c r="H41" s="352" t="str">
        <f ca="1">IF($G41="","",IF(COUNTIF(DADOS!$B$56:$B$77,Ofício!$G41)=0,"(cadastre na aba Dados)",VLOOKUP(Ofício!$G41,DADOS!$B$56:$F$77,2,FALSE)))</f>
        <v/>
      </c>
      <c r="I41" s="353" t="str">
        <f ca="1">IF(OR($G41="",COUNTIF(DADOS!$B$56:$B$77,Ofício!$G41)=0),"",VLOOKUP(Ofício!$G41,DADOS!$B$56:$F$77,5,FALSE))</f>
        <v/>
      </c>
      <c r="J41" s="215" t="str">
        <f ca="1">IF(ISERROR(M41),"",SUMIF(RRE!$H$15:$H$17,Ofício!G41,RRE!$N$15:$N$17))</f>
        <v/>
      </c>
      <c r="K41" s="206"/>
      <c r="L41" s="214">
        <f t="shared" ca="1" si="1"/>
        <v>18</v>
      </c>
      <c r="M41" s="206" t="e">
        <f ca="1">INDEX(RRE!$H$15:$H$17,MATCH(Ofício!L41,RRE!$U$15:$U$17,0))</f>
        <v>#N/A</v>
      </c>
    </row>
    <row r="42" spans="1:13" x14ac:dyDescent="0.25">
      <c r="A42" s="549"/>
      <c r="B42" s="549"/>
      <c r="C42" s="549"/>
      <c r="D42" s="549"/>
      <c r="E42" s="549"/>
      <c r="F42" s="549"/>
      <c r="G42" s="351" t="str">
        <f t="shared" ca="1" si="0"/>
        <v/>
      </c>
      <c r="H42" s="352" t="str">
        <f ca="1">IF($G42="","",IF(COUNTIF(DADOS!$B$56:$B$77,Ofício!$G42)=0,"(cadastre na aba Dados)",VLOOKUP(Ofício!$G42,DADOS!$B$56:$F$77,2,FALSE)))</f>
        <v/>
      </c>
      <c r="I42" s="353" t="str">
        <f ca="1">IF(OR($G42="",COUNTIF(DADOS!$B$56:$B$77,Ofício!$G42)=0),"",VLOOKUP(Ofício!$G42,DADOS!$B$56:$F$77,5,FALSE))</f>
        <v/>
      </c>
      <c r="J42" s="215" t="str">
        <f ca="1">IF(ISERROR(M42),"",SUMIF(RRE!$H$15:$H$17,Ofício!G42,RRE!$N$15:$N$17))</f>
        <v/>
      </c>
      <c r="K42" s="206"/>
      <c r="L42" s="214">
        <f t="shared" ca="1" si="1"/>
        <v>19</v>
      </c>
      <c r="M42" s="206" t="e">
        <f ca="1">INDEX(RRE!$H$15:$H$17,MATCH(Ofício!L42,RRE!$U$15:$U$17,0))</f>
        <v>#N/A</v>
      </c>
    </row>
    <row r="43" spans="1:13" x14ac:dyDescent="0.25">
      <c r="A43" s="549"/>
      <c r="B43" s="549"/>
      <c r="C43" s="549"/>
      <c r="D43" s="549"/>
      <c r="E43" s="549"/>
      <c r="F43" s="549"/>
      <c r="G43" s="351" t="str">
        <f t="shared" ca="1" si="0"/>
        <v/>
      </c>
      <c r="H43" s="352" t="str">
        <f ca="1">IF($G43="","",IF(COUNTIF(DADOS!$B$56:$B$77,Ofício!$G43)=0,"(cadastre na aba Dados)",VLOOKUP(Ofício!$G43,DADOS!$B$56:$F$77,2,FALSE)))</f>
        <v/>
      </c>
      <c r="I43" s="353" t="str">
        <f ca="1">IF(OR($G43="",COUNTIF(DADOS!$B$56:$B$77,Ofício!$G43)=0),"",VLOOKUP(Ofício!$G43,DADOS!$B$56:$F$77,5,FALSE))</f>
        <v/>
      </c>
      <c r="J43" s="215" t="str">
        <f ca="1">IF(ISERROR(M43),"",SUMIF(RRE!$H$15:$H$17,Ofício!G43,RRE!$N$15:$N$17))</f>
        <v/>
      </c>
      <c r="K43" s="206"/>
      <c r="L43" s="214">
        <f t="shared" ca="1" si="1"/>
        <v>20</v>
      </c>
      <c r="M43" s="206" t="e">
        <f ca="1">INDEX(RRE!$H$15:$H$17,MATCH(Ofício!L43,RRE!$U$15:$U$17,0))</f>
        <v>#N/A</v>
      </c>
    </row>
    <row r="44" spans="1:13" x14ac:dyDescent="0.25">
      <c r="A44" s="549"/>
      <c r="B44" s="549"/>
      <c r="C44" s="549"/>
      <c r="D44" s="549"/>
      <c r="E44" s="549"/>
      <c r="F44" s="549"/>
      <c r="G44" s="351" t="str">
        <f t="shared" ca="1" si="0"/>
        <v/>
      </c>
      <c r="H44" s="352" t="str">
        <f ca="1">IF($G44="","",IF(COUNTIF(DADOS!$B$56:$B$77,Ofício!$G44)=0,"(cadastre na aba Dados)",VLOOKUP(Ofício!$G44,DADOS!$B$56:$F$77,2,FALSE)))</f>
        <v/>
      </c>
      <c r="I44" s="353" t="str">
        <f ca="1">IF(OR($G44="",COUNTIF(DADOS!$B$56:$B$77,Ofício!$G44)=0),"",VLOOKUP(Ofício!$G44,DADOS!$B$56:$F$77,5,FALSE))</f>
        <v/>
      </c>
      <c r="J44" s="215" t="str">
        <f ca="1">IF(ISERROR(M44),"",SUMIF(RRE!$H$15:$H$17,Ofício!G44,RRE!$N$15:$N$17))</f>
        <v/>
      </c>
      <c r="K44" s="206"/>
      <c r="L44" s="214">
        <f t="shared" ca="1" si="1"/>
        <v>21</v>
      </c>
      <c r="M44" s="206" t="e">
        <f ca="1">INDEX(RRE!$H$15:$H$17,MATCH(Ofício!L44,RRE!$U$15:$U$17,0))</f>
        <v>#N/A</v>
      </c>
    </row>
    <row r="45" spans="1:13" x14ac:dyDescent="0.25">
      <c r="A45" s="549"/>
      <c r="B45" s="549"/>
      <c r="C45" s="549"/>
      <c r="D45" s="549"/>
      <c r="E45" s="549"/>
      <c r="F45" s="549"/>
      <c r="G45" s="351" t="str">
        <f t="shared" ca="1" si="0"/>
        <v/>
      </c>
      <c r="H45" s="352" t="str">
        <f ca="1">IF($G45="","",IF(COUNTIF(DADOS!$B$56:$B$77,Ofício!$G45)=0,"(cadastre na aba Dados)",VLOOKUP(Ofício!$G45,DADOS!$B$56:$F$77,2,FALSE)))</f>
        <v/>
      </c>
      <c r="I45" s="353" t="str">
        <f ca="1">IF(OR($G45="",COUNTIF(DADOS!$B$56:$B$77,Ofício!$G45)=0),"",VLOOKUP(Ofício!$G45,DADOS!$B$56:$F$77,5,FALSE))</f>
        <v/>
      </c>
      <c r="J45" s="215" t="str">
        <f ca="1">IF(ISERROR(M45),"",SUMIF(RRE!$H$15:$H$17,Ofício!G45,RRE!$N$15:$N$17))</f>
        <v/>
      </c>
      <c r="K45" s="206"/>
      <c r="L45" s="214">
        <f t="shared" ca="1" si="1"/>
        <v>22</v>
      </c>
      <c r="M45" s="206" t="e">
        <f ca="1">INDEX(RRE!$H$15:$H$17,MATCH(Ofício!L45,RRE!$U$15:$U$17,0))</f>
        <v>#N/A</v>
      </c>
    </row>
    <row r="46" spans="1:13" x14ac:dyDescent="0.25">
      <c r="A46" s="217"/>
      <c r="B46" s="217"/>
      <c r="C46" s="217"/>
      <c r="D46" s="217"/>
      <c r="E46" s="217"/>
      <c r="F46" s="218"/>
      <c r="G46" s="217"/>
      <c r="H46" s="217"/>
      <c r="I46" s="217"/>
      <c r="J46" s="217"/>
      <c r="K46" s="217"/>
      <c r="L46" s="217"/>
      <c r="M46" s="217"/>
    </row>
    <row r="47" spans="1:13" x14ac:dyDescent="0.25">
      <c r="A47" s="217"/>
      <c r="B47" s="217"/>
      <c r="C47" s="217"/>
      <c r="D47" s="217"/>
      <c r="E47" s="217"/>
      <c r="F47" s="218"/>
      <c r="G47" s="217"/>
      <c r="H47" s="217"/>
      <c r="I47" s="217"/>
      <c r="J47" s="217"/>
      <c r="K47" s="217"/>
      <c r="L47" s="217"/>
      <c r="M47" s="217"/>
    </row>
    <row r="48" spans="1:13" x14ac:dyDescent="0.25">
      <c r="A48" s="206" t="s">
        <v>127</v>
      </c>
      <c r="B48" s="217"/>
      <c r="C48" s="217"/>
      <c r="D48" s="217"/>
      <c r="E48" s="217"/>
      <c r="F48" s="218"/>
      <c r="G48" s="206" t="s">
        <v>127</v>
      </c>
      <c r="H48" s="217"/>
      <c r="I48" s="217"/>
      <c r="J48" s="217"/>
      <c r="K48" s="217"/>
      <c r="L48" s="217"/>
      <c r="M48" s="217"/>
    </row>
    <row r="49" spans="1:13" x14ac:dyDescent="0.25">
      <c r="A49" s="218"/>
      <c r="B49" s="218"/>
      <c r="C49" s="218"/>
      <c r="D49" s="218"/>
      <c r="E49" s="218"/>
      <c r="F49" s="218"/>
      <c r="G49" s="217"/>
      <c r="H49" s="217"/>
      <c r="I49" s="217"/>
      <c r="J49" s="217"/>
      <c r="K49" s="217"/>
      <c r="L49" s="217"/>
      <c r="M49" s="217"/>
    </row>
    <row r="50" spans="1:13" x14ac:dyDescent="0.25">
      <c r="A50" s="219"/>
      <c r="B50" s="206"/>
      <c r="C50" s="206"/>
      <c r="D50" s="206"/>
      <c r="E50" s="206"/>
      <c r="F50" s="206"/>
      <c r="G50" s="219"/>
      <c r="H50" s="206"/>
      <c r="I50" s="206"/>
      <c r="J50" s="206"/>
      <c r="K50" s="206"/>
      <c r="L50" s="214"/>
      <c r="M50" s="206"/>
    </row>
    <row r="51" spans="1:13" x14ac:dyDescent="0.25">
      <c r="A51" s="206"/>
      <c r="B51" s="206"/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</row>
    <row r="52" spans="1:13" x14ac:dyDescent="0.25">
      <c r="A52" s="220"/>
      <c r="B52" s="220"/>
      <c r="C52" s="220"/>
      <c r="D52" s="221"/>
      <c r="E52" s="221"/>
      <c r="F52" s="221"/>
      <c r="G52" s="222"/>
      <c r="H52" s="220"/>
      <c r="I52" s="221"/>
      <c r="J52" s="221"/>
      <c r="K52" s="221"/>
      <c r="L52" s="206"/>
      <c r="M52" s="206"/>
    </row>
    <row r="53" spans="1:13" x14ac:dyDescent="0.25">
      <c r="A53" s="542">
        <f>RRE!I26</f>
        <v>0</v>
      </c>
      <c r="B53" s="542"/>
      <c r="C53" s="542"/>
      <c r="D53" s="542"/>
      <c r="E53" s="542"/>
      <c r="F53" s="542"/>
      <c r="G53" s="542">
        <f>A53</f>
        <v>0</v>
      </c>
      <c r="H53" s="542"/>
      <c r="I53" s="542"/>
      <c r="J53" s="542"/>
      <c r="K53" s="52"/>
      <c r="L53" s="206"/>
      <c r="M53" s="206"/>
    </row>
    <row r="54" spans="1:13" x14ac:dyDescent="0.25">
      <c r="A54" s="542" t="str">
        <f>B18</f>
        <v xml:space="preserve">MUNICPIO DE RONDINHA </v>
      </c>
      <c r="B54" s="542"/>
      <c r="C54" s="542"/>
      <c r="D54" s="542"/>
      <c r="E54" s="542"/>
      <c r="F54" s="542"/>
      <c r="G54" s="542" t="str">
        <f>A54</f>
        <v xml:space="preserve">MUNICPIO DE RONDINHA </v>
      </c>
      <c r="H54" s="542"/>
      <c r="I54" s="542"/>
      <c r="J54" s="542"/>
      <c r="K54" s="53"/>
      <c r="L54" s="206"/>
      <c r="M54" s="206"/>
    </row>
    <row r="55" spans="1:13" x14ac:dyDescent="0.25">
      <c r="A55" s="542"/>
      <c r="B55" s="542"/>
      <c r="C55" s="542"/>
      <c r="D55" s="542"/>
      <c r="E55" s="542"/>
      <c r="F55" s="542"/>
      <c r="G55" s="542"/>
      <c r="H55" s="542"/>
      <c r="I55" s="542"/>
      <c r="J55" s="542"/>
      <c r="K55" s="53"/>
      <c r="L55" s="206"/>
      <c r="M55" s="206"/>
    </row>
  </sheetData>
  <sheetProtection password="A71E" sheet="1" objects="1" scenarios="1"/>
  <mergeCells count="42">
    <mergeCell ref="G3:J3"/>
    <mergeCell ref="G7:J7"/>
    <mergeCell ref="B13:F13"/>
    <mergeCell ref="B6:C6"/>
    <mergeCell ref="A7:F7"/>
    <mergeCell ref="A9:C9"/>
    <mergeCell ref="G10:H10"/>
    <mergeCell ref="A1:B4"/>
    <mergeCell ref="B10:C10"/>
    <mergeCell ref="B14:F14"/>
    <mergeCell ref="A36:F36"/>
    <mergeCell ref="A37:F37"/>
    <mergeCell ref="E33:F33"/>
    <mergeCell ref="C27:C28"/>
    <mergeCell ref="B16:F16"/>
    <mergeCell ref="A32:B32"/>
    <mergeCell ref="A23:F25"/>
    <mergeCell ref="B17:F17"/>
    <mergeCell ref="E29:F29"/>
    <mergeCell ref="A54:F55"/>
    <mergeCell ref="H16:J16"/>
    <mergeCell ref="H18:J19"/>
    <mergeCell ref="G18:G19"/>
    <mergeCell ref="H17:J17"/>
    <mergeCell ref="G54:J55"/>
    <mergeCell ref="G21:J22"/>
    <mergeCell ref="G53:J53"/>
    <mergeCell ref="B18:F19"/>
    <mergeCell ref="A18:A19"/>
    <mergeCell ref="D27:D28"/>
    <mergeCell ref="E27:F28"/>
    <mergeCell ref="A30:B30"/>
    <mergeCell ref="E30:F30"/>
    <mergeCell ref="A29:B29"/>
    <mergeCell ref="A27:B28"/>
    <mergeCell ref="A53:F53"/>
    <mergeCell ref="A31:B31"/>
    <mergeCell ref="E31:F31"/>
    <mergeCell ref="E32:F32"/>
    <mergeCell ref="A33:B33"/>
    <mergeCell ref="A38:F39"/>
    <mergeCell ref="A41:F45"/>
  </mergeCells>
  <phoneticPr fontId="4" type="noConversion"/>
  <conditionalFormatting sqref="E33:F33">
    <cfRule type="cellIs" dxfId="1" priority="3" stopIfTrue="1" operator="lessThan">
      <formula>0</formula>
    </cfRule>
  </conditionalFormatting>
  <conditionalFormatting sqref="E29:F32">
    <cfRule type="cellIs" dxfId="0" priority="4" stopIfTrue="1" operator="notBetween">
      <formula>0</formula>
      <formula>$C29</formula>
    </cfRule>
  </conditionalFormatting>
  <dataValidations disablePrompts="1" count="1">
    <dataValidation type="list" allowBlank="1" showInputMessage="1" showErrorMessage="1" sqref="A10">
      <formula1>"GIGOV,SR"</formula1>
    </dataValidation>
  </dataValidations>
  <printOptions horizontalCentered="1" verticalCentered="1"/>
  <pageMargins left="0.78740157480314965" right="0.78740157480314965" top="0.78740157480314965" bottom="0.78740157480314965" header="5.7086614173228352" footer="0.59055118110236227"/>
  <pageSetup paperSize="9" scale="96" fitToWidth="2" orientation="portrait" r:id="rId1"/>
  <headerFooter alignWithMargins="0">
    <oddHeader>&amp;L_</oddHeader>
    <oddFooter>&amp;R&amp;P&amp;L41.211 v009  micro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AJ74"/>
  <sheetViews>
    <sheetView topLeftCell="F1" workbookViewId="0"/>
  </sheetViews>
  <sheetFormatPr defaultRowHeight="13.2" x14ac:dyDescent="0.25"/>
  <cols>
    <col min="1" max="1" width="32.109375" bestFit="1" customWidth="1"/>
    <col min="2" max="2" width="49" bestFit="1" customWidth="1"/>
    <col min="3" max="3" width="22.5546875" bestFit="1" customWidth="1"/>
    <col min="4" max="4" width="8.6640625" customWidth="1"/>
    <col min="5" max="5" width="52.44140625" bestFit="1" customWidth="1"/>
    <col min="6" max="6" width="8.6640625" style="59" customWidth="1"/>
    <col min="7" max="7" width="35" bestFit="1" customWidth="1"/>
    <col min="8" max="8" width="8.6640625" customWidth="1"/>
    <col min="9" max="9" width="84.44140625" bestFit="1" customWidth="1"/>
    <col min="10" max="10" width="8.6640625" customWidth="1"/>
    <col min="11" max="11" width="38" bestFit="1" customWidth="1"/>
    <col min="12" max="12" width="8.6640625" customWidth="1"/>
    <col min="13" max="13" width="38" bestFit="1" customWidth="1"/>
    <col min="14" max="14" width="8.6640625" customWidth="1"/>
    <col min="15" max="15" width="35.6640625" bestFit="1" customWidth="1"/>
    <col min="16" max="16" width="8.6640625" customWidth="1"/>
    <col min="17" max="17" width="59.109375" bestFit="1" customWidth="1"/>
    <col min="18" max="18" width="8.6640625" customWidth="1"/>
    <col min="19" max="19" width="60.33203125" bestFit="1" customWidth="1"/>
    <col min="20" max="20" width="8.6640625" customWidth="1"/>
    <col min="21" max="21" width="30.5546875" bestFit="1" customWidth="1"/>
    <col min="22" max="22" width="8.6640625" customWidth="1"/>
    <col min="23" max="23" width="20" bestFit="1" customWidth="1"/>
    <col min="24" max="24" width="8.6640625" customWidth="1"/>
    <col min="25" max="25" width="36.5546875" bestFit="1" customWidth="1"/>
    <col min="26" max="26" width="8.6640625" customWidth="1"/>
    <col min="27" max="27" width="31.6640625" bestFit="1" customWidth="1"/>
    <col min="28" max="28" width="8.6640625" customWidth="1"/>
    <col min="29" max="29" width="53.5546875" bestFit="1" customWidth="1"/>
    <col min="30" max="30" width="8.6640625" customWidth="1"/>
    <col min="31" max="31" width="47" bestFit="1" customWidth="1"/>
    <col min="32" max="32" width="8.6640625" customWidth="1"/>
    <col min="33" max="33" width="15.109375" bestFit="1" customWidth="1"/>
    <col min="34" max="34" width="8.6640625" customWidth="1"/>
    <col min="35" max="35" width="35.88671875" bestFit="1" customWidth="1"/>
    <col min="36" max="36" width="8.6640625" customWidth="1"/>
  </cols>
  <sheetData>
    <row r="1" spans="1:36" x14ac:dyDescent="0.25">
      <c r="C1" s="62"/>
      <c r="D1" s="575" t="s">
        <v>158</v>
      </c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6"/>
    </row>
    <row r="2" spans="1:36" s="58" customFormat="1" x14ac:dyDescent="0.25">
      <c r="B2" s="58" t="s">
        <v>157</v>
      </c>
      <c r="C2" s="60" t="s">
        <v>11</v>
      </c>
      <c r="D2" s="61">
        <f>COUNTA(C:C)-1</f>
        <v>3</v>
      </c>
      <c r="E2" s="60" t="s">
        <v>12</v>
      </c>
      <c r="F2" s="61">
        <f>COUNTA(E:E)-1</f>
        <v>6</v>
      </c>
      <c r="G2" s="60" t="s">
        <v>3</v>
      </c>
      <c r="H2" s="61">
        <f>COUNTA(G:G)-1</f>
        <v>6</v>
      </c>
      <c r="I2" s="60" t="s">
        <v>47</v>
      </c>
      <c r="J2" s="61">
        <f>COUNTA(I:I)-1</f>
        <v>6</v>
      </c>
      <c r="K2" s="60" t="s">
        <v>4</v>
      </c>
      <c r="L2" s="61">
        <f>COUNTA(K:K)-1</f>
        <v>11</v>
      </c>
      <c r="M2" s="60" t="s">
        <v>5</v>
      </c>
      <c r="N2" s="61">
        <f>COUNTA(M:M)-1</f>
        <v>8</v>
      </c>
      <c r="O2" s="60" t="s">
        <v>6</v>
      </c>
      <c r="P2" s="61">
        <f>COUNTA(O:O)-1</f>
        <v>4</v>
      </c>
      <c r="Q2" s="60" t="s">
        <v>7</v>
      </c>
      <c r="R2" s="61">
        <f>COUNTA(Q:Q)-1</f>
        <v>6</v>
      </c>
      <c r="S2" s="60" t="s">
        <v>74</v>
      </c>
      <c r="T2" s="61">
        <f>COUNTA(S:S)-1</f>
        <v>2</v>
      </c>
      <c r="U2" s="60" t="s">
        <v>13</v>
      </c>
      <c r="V2" s="61">
        <f>COUNTA(U:U)-1</f>
        <v>2</v>
      </c>
      <c r="W2" s="60" t="s">
        <v>62</v>
      </c>
      <c r="X2" s="61">
        <f>COUNTA(W:W)-1</f>
        <v>2</v>
      </c>
      <c r="Y2" s="60" t="s">
        <v>8</v>
      </c>
      <c r="Z2" s="61">
        <f>COUNTA(Y:Y)-1</f>
        <v>1</v>
      </c>
      <c r="AA2" s="60" t="s">
        <v>9</v>
      </c>
      <c r="AB2" s="61">
        <f>COUNTA(AA:AA)-1</f>
        <v>1</v>
      </c>
      <c r="AC2" s="60" t="s">
        <v>10</v>
      </c>
      <c r="AD2" s="61">
        <f>COUNTA(AC:AC)-1</f>
        <v>1</v>
      </c>
      <c r="AE2" s="60" t="s">
        <v>51</v>
      </c>
      <c r="AF2" s="61">
        <f>COUNTA(AE:AE)-1</f>
        <v>3</v>
      </c>
      <c r="AG2" s="60" t="s">
        <v>22</v>
      </c>
      <c r="AH2" s="61">
        <f>COUNTA(AG:AG)-1</f>
        <v>1</v>
      </c>
      <c r="AI2" s="60" t="s">
        <v>48</v>
      </c>
      <c r="AJ2" s="61">
        <f>COUNTA(AI:AI)-1</f>
        <v>4</v>
      </c>
    </row>
    <row r="3" spans="1:36" x14ac:dyDescent="0.25">
      <c r="A3" s="24"/>
      <c r="B3" s="21" t="s">
        <v>11</v>
      </c>
      <c r="C3" s="2" t="s">
        <v>17</v>
      </c>
      <c r="D3" s="22" t="s">
        <v>54</v>
      </c>
      <c r="E3" s="25" t="s">
        <v>46</v>
      </c>
      <c r="F3" s="22" t="s">
        <v>53</v>
      </c>
      <c r="G3" s="2" t="s">
        <v>162</v>
      </c>
      <c r="H3" s="22" t="s">
        <v>53</v>
      </c>
      <c r="I3" s="27" t="s">
        <v>41</v>
      </c>
      <c r="J3" s="23" t="s">
        <v>52</v>
      </c>
      <c r="K3" s="2" t="s">
        <v>25</v>
      </c>
      <c r="L3" s="23" t="s">
        <v>60</v>
      </c>
      <c r="M3" s="27" t="s">
        <v>44</v>
      </c>
      <c r="N3" s="22" t="s">
        <v>54</v>
      </c>
      <c r="O3" s="2" t="s">
        <v>69</v>
      </c>
      <c r="P3" s="22" t="s">
        <v>54</v>
      </c>
      <c r="Q3" s="2" t="s">
        <v>14</v>
      </c>
      <c r="R3" s="22" t="s">
        <v>54</v>
      </c>
      <c r="S3" s="2" t="s">
        <v>75</v>
      </c>
      <c r="T3" s="22" t="s">
        <v>53</v>
      </c>
      <c r="U3" s="2" t="s">
        <v>42</v>
      </c>
      <c r="V3" s="22" t="s">
        <v>53</v>
      </c>
      <c r="W3" s="2" t="s">
        <v>62</v>
      </c>
      <c r="X3" s="22" t="s">
        <v>53</v>
      </c>
      <c r="Y3" s="2" t="s">
        <v>8</v>
      </c>
      <c r="Z3" s="22" t="s">
        <v>54</v>
      </c>
      <c r="AA3" s="2" t="s">
        <v>9</v>
      </c>
      <c r="AB3" s="22" t="s">
        <v>54</v>
      </c>
      <c r="AC3" s="2" t="s">
        <v>10</v>
      </c>
      <c r="AD3" s="22" t="s">
        <v>54</v>
      </c>
      <c r="AE3" s="28" t="s">
        <v>49</v>
      </c>
      <c r="AF3" s="22" t="s">
        <v>54</v>
      </c>
      <c r="AG3" s="28" t="s">
        <v>22</v>
      </c>
      <c r="AH3" s="23" t="s">
        <v>77</v>
      </c>
      <c r="AI3" s="28" t="s">
        <v>87</v>
      </c>
      <c r="AJ3" s="23" t="s">
        <v>86</v>
      </c>
    </row>
    <row r="4" spans="1:36" x14ac:dyDescent="0.25">
      <c r="A4" s="24"/>
      <c r="B4" s="21" t="s">
        <v>12</v>
      </c>
      <c r="C4" s="2" t="s">
        <v>56</v>
      </c>
      <c r="D4" s="23" t="s">
        <v>54</v>
      </c>
      <c r="E4" s="2" t="s">
        <v>39</v>
      </c>
      <c r="F4" s="23" t="s">
        <v>53</v>
      </c>
      <c r="G4" s="2" t="s">
        <v>163</v>
      </c>
      <c r="H4" s="22" t="s">
        <v>53</v>
      </c>
      <c r="I4" s="2" t="s">
        <v>32</v>
      </c>
      <c r="J4" s="22" t="s">
        <v>52</v>
      </c>
      <c r="K4" s="2" t="s">
        <v>26</v>
      </c>
      <c r="L4" s="23" t="s">
        <v>60</v>
      </c>
      <c r="M4" s="27" t="s">
        <v>65</v>
      </c>
      <c r="N4" s="22" t="s">
        <v>52</v>
      </c>
      <c r="O4" s="2" t="s">
        <v>79</v>
      </c>
      <c r="P4" s="23" t="s">
        <v>54</v>
      </c>
      <c r="Q4" s="27" t="s">
        <v>72</v>
      </c>
      <c r="R4" s="22" t="s">
        <v>55</v>
      </c>
      <c r="S4" s="2" t="s">
        <v>76</v>
      </c>
      <c r="T4" s="22" t="s">
        <v>53</v>
      </c>
      <c r="U4" s="2" t="s">
        <v>20</v>
      </c>
      <c r="V4" s="22" t="s">
        <v>53</v>
      </c>
      <c r="W4" s="2" t="s">
        <v>224</v>
      </c>
      <c r="X4" s="264" t="s">
        <v>53</v>
      </c>
      <c r="Z4" s="23"/>
      <c r="AB4" s="23"/>
      <c r="AD4" s="23"/>
      <c r="AE4" s="28" t="s">
        <v>61</v>
      </c>
      <c r="AF4" s="22" t="s">
        <v>54</v>
      </c>
      <c r="AI4" s="28" t="s">
        <v>88</v>
      </c>
      <c r="AJ4" s="23" t="s">
        <v>86</v>
      </c>
    </row>
    <row r="5" spans="1:36" x14ac:dyDescent="0.25">
      <c r="A5" s="24"/>
      <c r="B5" s="21" t="s">
        <v>3</v>
      </c>
      <c r="C5" s="2" t="s">
        <v>23</v>
      </c>
      <c r="D5" s="23" t="s">
        <v>54</v>
      </c>
      <c r="E5" s="2" t="s">
        <v>38</v>
      </c>
      <c r="F5" s="23" t="s">
        <v>53</v>
      </c>
      <c r="G5" s="2" t="s">
        <v>63</v>
      </c>
      <c r="H5" s="23" t="s">
        <v>52</v>
      </c>
      <c r="I5" s="2" t="s">
        <v>28</v>
      </c>
      <c r="J5" s="23" t="s">
        <v>52</v>
      </c>
      <c r="K5" s="2" t="s">
        <v>58</v>
      </c>
      <c r="L5" s="23" t="s">
        <v>60</v>
      </c>
      <c r="M5" s="27" t="s">
        <v>66</v>
      </c>
      <c r="N5" s="22" t="s">
        <v>52</v>
      </c>
      <c r="O5" s="2" t="s">
        <v>70</v>
      </c>
      <c r="P5" s="23" t="s">
        <v>52</v>
      </c>
      <c r="Q5" s="2" t="s">
        <v>73</v>
      </c>
      <c r="R5" s="22" t="s">
        <v>55</v>
      </c>
      <c r="T5" s="23"/>
      <c r="V5" s="23"/>
      <c r="X5" s="23"/>
      <c r="Z5" s="23"/>
      <c r="AB5" s="23"/>
      <c r="AD5" s="23"/>
      <c r="AE5" s="28" t="s">
        <v>50</v>
      </c>
      <c r="AF5" s="22" t="s">
        <v>54</v>
      </c>
      <c r="AI5" s="28" t="s">
        <v>89</v>
      </c>
      <c r="AJ5" s="23" t="s">
        <v>86</v>
      </c>
    </row>
    <row r="6" spans="1:36" x14ac:dyDescent="0.25">
      <c r="A6" s="24"/>
      <c r="B6" s="21" t="s">
        <v>47</v>
      </c>
      <c r="E6" s="2" t="s">
        <v>40</v>
      </c>
      <c r="F6" s="23" t="s">
        <v>53</v>
      </c>
      <c r="G6" s="2" t="s">
        <v>24</v>
      </c>
      <c r="H6" s="23" t="s">
        <v>53</v>
      </c>
      <c r="I6" s="27" t="s">
        <v>45</v>
      </c>
      <c r="J6" s="23" t="s">
        <v>53</v>
      </c>
      <c r="K6" s="2" t="s">
        <v>21</v>
      </c>
      <c r="L6" s="23" t="s">
        <v>52</v>
      </c>
      <c r="M6" s="2" t="s">
        <v>27</v>
      </c>
      <c r="N6" s="23" t="s">
        <v>52</v>
      </c>
      <c r="O6" s="2" t="s">
        <v>71</v>
      </c>
      <c r="P6" s="23" t="s">
        <v>52</v>
      </c>
      <c r="Q6" s="27" t="s">
        <v>43</v>
      </c>
      <c r="R6" s="22" t="s">
        <v>54</v>
      </c>
      <c r="AI6" s="28" t="s">
        <v>151</v>
      </c>
      <c r="AJ6" s="23" t="s">
        <v>86</v>
      </c>
    </row>
    <row r="7" spans="1:36" x14ac:dyDescent="0.25">
      <c r="A7" s="24"/>
      <c r="B7" s="21" t="s">
        <v>4</v>
      </c>
      <c r="E7" s="2" t="s">
        <v>18</v>
      </c>
      <c r="F7" s="23" t="s">
        <v>53</v>
      </c>
      <c r="G7" s="2" t="s">
        <v>19</v>
      </c>
      <c r="H7" s="23" t="s">
        <v>53</v>
      </c>
      <c r="I7" s="27" t="s">
        <v>64</v>
      </c>
      <c r="J7" s="23" t="s">
        <v>55</v>
      </c>
      <c r="K7" s="2" t="s">
        <v>29</v>
      </c>
      <c r="L7" s="23" t="s">
        <v>60</v>
      </c>
      <c r="M7" s="2" t="s">
        <v>31</v>
      </c>
      <c r="N7" s="23" t="s">
        <v>60</v>
      </c>
      <c r="O7" s="2"/>
      <c r="Q7" s="2" t="s">
        <v>15</v>
      </c>
      <c r="R7" s="22" t="s">
        <v>54</v>
      </c>
    </row>
    <row r="8" spans="1:36" x14ac:dyDescent="0.25">
      <c r="A8" s="24"/>
      <c r="B8" s="21" t="s">
        <v>5</v>
      </c>
      <c r="E8" s="2" t="s">
        <v>37</v>
      </c>
      <c r="F8" s="22" t="s">
        <v>53</v>
      </c>
      <c r="G8" s="10" t="s">
        <v>30</v>
      </c>
      <c r="H8" s="23" t="s">
        <v>53</v>
      </c>
      <c r="I8" s="71" t="s">
        <v>228</v>
      </c>
      <c r="J8" s="268" t="s">
        <v>60</v>
      </c>
      <c r="K8" s="2" t="s">
        <v>59</v>
      </c>
      <c r="L8" s="23" t="s">
        <v>60</v>
      </c>
      <c r="M8" s="2" t="s">
        <v>67</v>
      </c>
      <c r="N8" s="23" t="s">
        <v>60</v>
      </c>
      <c r="Q8" s="2" t="s">
        <v>16</v>
      </c>
      <c r="R8" s="22" t="s">
        <v>53</v>
      </c>
    </row>
    <row r="9" spans="1:36" x14ac:dyDescent="0.25">
      <c r="A9" s="24"/>
      <c r="B9" s="21" t="s">
        <v>6</v>
      </c>
      <c r="K9" s="2" t="s">
        <v>57</v>
      </c>
      <c r="L9" s="23" t="s">
        <v>52</v>
      </c>
      <c r="M9" s="2" t="s">
        <v>36</v>
      </c>
      <c r="N9" s="23" t="s">
        <v>60</v>
      </c>
    </row>
    <row r="10" spans="1:36" x14ac:dyDescent="0.25">
      <c r="A10" s="24"/>
      <c r="B10" s="21" t="s">
        <v>7</v>
      </c>
      <c r="K10" s="2" t="s">
        <v>34</v>
      </c>
      <c r="L10" s="23" t="s">
        <v>55</v>
      </c>
      <c r="M10" s="2" t="s">
        <v>68</v>
      </c>
      <c r="N10" s="22" t="s">
        <v>54</v>
      </c>
    </row>
    <row r="11" spans="1:36" x14ac:dyDescent="0.25">
      <c r="A11" s="24"/>
      <c r="B11" s="21" t="s">
        <v>74</v>
      </c>
      <c r="K11" s="2" t="s">
        <v>33</v>
      </c>
      <c r="L11" s="23" t="s">
        <v>52</v>
      </c>
    </row>
    <row r="12" spans="1:36" x14ac:dyDescent="0.25">
      <c r="A12" s="24"/>
      <c r="B12" s="21" t="s">
        <v>13</v>
      </c>
      <c r="K12" s="2" t="s">
        <v>44</v>
      </c>
      <c r="L12" s="23" t="s">
        <v>54</v>
      </c>
    </row>
    <row r="13" spans="1:36" x14ac:dyDescent="0.25">
      <c r="A13" s="24"/>
      <c r="B13" s="21" t="s">
        <v>62</v>
      </c>
      <c r="K13" s="2" t="s">
        <v>35</v>
      </c>
      <c r="L13" s="23" t="s">
        <v>52</v>
      </c>
    </row>
    <row r="14" spans="1:36" x14ac:dyDescent="0.25">
      <c r="A14" s="24"/>
      <c r="B14" s="21" t="s">
        <v>8</v>
      </c>
    </row>
    <row r="15" spans="1:36" x14ac:dyDescent="0.25">
      <c r="A15" s="24"/>
      <c r="B15" s="21" t="s">
        <v>9</v>
      </c>
    </row>
    <row r="16" spans="1:36" x14ac:dyDescent="0.25">
      <c r="A16" s="24"/>
      <c r="B16" s="21" t="s">
        <v>10</v>
      </c>
    </row>
    <row r="17" spans="1:2" x14ac:dyDescent="0.25">
      <c r="A17" s="24"/>
      <c r="B17" s="21" t="s">
        <v>51</v>
      </c>
    </row>
    <row r="18" spans="1:2" x14ac:dyDescent="0.25">
      <c r="A18" s="24"/>
      <c r="B18" s="21" t="s">
        <v>22</v>
      </c>
    </row>
    <row r="19" spans="1:2" x14ac:dyDescent="0.25">
      <c r="A19" s="24"/>
      <c r="B19" s="21" t="s">
        <v>48</v>
      </c>
    </row>
    <row r="20" spans="1:2" x14ac:dyDescent="0.25">
      <c r="A20" s="24"/>
    </row>
    <row r="21" spans="1:2" x14ac:dyDescent="0.25">
      <c r="A21" s="24"/>
    </row>
    <row r="22" spans="1:2" x14ac:dyDescent="0.25">
      <c r="A22" s="24"/>
    </row>
    <row r="23" spans="1:2" x14ac:dyDescent="0.25">
      <c r="A23" s="24"/>
    </row>
    <row r="24" spans="1:2" x14ac:dyDescent="0.25">
      <c r="A24" s="24"/>
    </row>
    <row r="25" spans="1:2" x14ac:dyDescent="0.25">
      <c r="A25" s="24"/>
    </row>
    <row r="26" spans="1:2" x14ac:dyDescent="0.25">
      <c r="A26" s="24"/>
    </row>
    <row r="27" spans="1:2" x14ac:dyDescent="0.25">
      <c r="A27" s="24"/>
    </row>
    <row r="28" spans="1:2" x14ac:dyDescent="0.25">
      <c r="A28" s="11"/>
    </row>
    <row r="29" spans="1:2" x14ac:dyDescent="0.25">
      <c r="A29" s="11"/>
    </row>
    <row r="30" spans="1:2" x14ac:dyDescent="0.25">
      <c r="A30" s="11"/>
    </row>
    <row r="31" spans="1:2" x14ac:dyDescent="0.25">
      <c r="A31" s="11"/>
    </row>
    <row r="32" spans="1:2" x14ac:dyDescent="0.25">
      <c r="A32" s="11"/>
    </row>
    <row r="33" spans="1:1" x14ac:dyDescent="0.25">
      <c r="A33" s="11"/>
    </row>
    <row r="34" spans="1:1" x14ac:dyDescent="0.25">
      <c r="A34" s="11"/>
    </row>
    <row r="35" spans="1:1" x14ac:dyDescent="0.25">
      <c r="A35" s="11"/>
    </row>
    <row r="36" spans="1:1" x14ac:dyDescent="0.25">
      <c r="A36" s="11"/>
    </row>
    <row r="37" spans="1:1" x14ac:dyDescent="0.25">
      <c r="A37" s="11"/>
    </row>
    <row r="38" spans="1:1" x14ac:dyDescent="0.25">
      <c r="A38" s="11"/>
    </row>
    <row r="39" spans="1:1" x14ac:dyDescent="0.25">
      <c r="A39" s="11"/>
    </row>
    <row r="40" spans="1:1" x14ac:dyDescent="0.25">
      <c r="A40" s="11"/>
    </row>
    <row r="41" spans="1:1" x14ac:dyDescent="0.25">
      <c r="A41" s="11"/>
    </row>
    <row r="42" spans="1:1" x14ac:dyDescent="0.25">
      <c r="A42" s="11"/>
    </row>
    <row r="43" spans="1:1" x14ac:dyDescent="0.25">
      <c r="A43" s="11"/>
    </row>
    <row r="44" spans="1:1" x14ac:dyDescent="0.25">
      <c r="A44" s="11"/>
    </row>
    <row r="45" spans="1:1" x14ac:dyDescent="0.25">
      <c r="A45" s="11"/>
    </row>
    <row r="46" spans="1:1" x14ac:dyDescent="0.25">
      <c r="A46" s="11"/>
    </row>
    <row r="47" spans="1:1" x14ac:dyDescent="0.25">
      <c r="A47" s="11"/>
    </row>
    <row r="48" spans="1:1" x14ac:dyDescent="0.25">
      <c r="A48" s="11"/>
    </row>
    <row r="49" spans="1:1" x14ac:dyDescent="0.25">
      <c r="A49" s="11"/>
    </row>
    <row r="50" spans="1:1" x14ac:dyDescent="0.25">
      <c r="A50" s="11"/>
    </row>
    <row r="51" spans="1:1" x14ac:dyDescent="0.25">
      <c r="A51" s="11"/>
    </row>
    <row r="52" spans="1:1" x14ac:dyDescent="0.25">
      <c r="A52" s="11"/>
    </row>
    <row r="53" spans="1:1" x14ac:dyDescent="0.25">
      <c r="A53" s="11"/>
    </row>
    <row r="54" spans="1:1" x14ac:dyDescent="0.25">
      <c r="A54" s="11"/>
    </row>
    <row r="55" spans="1:1" x14ac:dyDescent="0.25">
      <c r="A55" s="11"/>
    </row>
    <row r="56" spans="1:1" x14ac:dyDescent="0.25">
      <c r="A56" s="11"/>
    </row>
    <row r="57" spans="1:1" x14ac:dyDescent="0.25">
      <c r="A57" s="11"/>
    </row>
    <row r="58" spans="1:1" x14ac:dyDescent="0.25">
      <c r="A58" s="11"/>
    </row>
    <row r="59" spans="1:1" x14ac:dyDescent="0.25">
      <c r="A59" s="11"/>
    </row>
    <row r="60" spans="1:1" x14ac:dyDescent="0.25">
      <c r="A60" s="11"/>
    </row>
    <row r="61" spans="1:1" x14ac:dyDescent="0.25">
      <c r="A61" s="11"/>
    </row>
    <row r="62" spans="1:1" x14ac:dyDescent="0.25">
      <c r="A62" s="11"/>
    </row>
    <row r="63" spans="1:1" x14ac:dyDescent="0.25">
      <c r="A63" s="11"/>
    </row>
    <row r="64" spans="1:1" x14ac:dyDescent="0.25">
      <c r="A64" s="11"/>
    </row>
    <row r="65" spans="1:1" x14ac:dyDescent="0.25">
      <c r="A65" s="11"/>
    </row>
    <row r="66" spans="1:1" x14ac:dyDescent="0.25">
      <c r="A66" s="11"/>
    </row>
    <row r="67" spans="1:1" x14ac:dyDescent="0.25">
      <c r="A67" s="11"/>
    </row>
    <row r="68" spans="1:1" x14ac:dyDescent="0.25">
      <c r="A68" s="11"/>
    </row>
    <row r="69" spans="1:1" x14ac:dyDescent="0.25">
      <c r="A69" s="11"/>
    </row>
    <row r="70" spans="1:1" x14ac:dyDescent="0.25">
      <c r="A70" s="11"/>
    </row>
    <row r="71" spans="1:1" x14ac:dyDescent="0.25">
      <c r="A71" s="11"/>
    </row>
    <row r="72" spans="1:1" x14ac:dyDescent="0.25">
      <c r="A72" s="11"/>
    </row>
    <row r="73" spans="1:1" x14ac:dyDescent="0.25">
      <c r="A73" s="11"/>
    </row>
    <row r="74" spans="1:1" x14ac:dyDescent="0.25">
      <c r="A74" s="11"/>
    </row>
  </sheetData>
  <sheetProtection sheet="1" objects="1" scenarios="1"/>
  <mergeCells count="1">
    <mergeCell ref="D1:AJ1"/>
  </mergeCells>
  <phoneticPr fontId="4" type="noConversion"/>
  <pageMargins left="0.78740157480314998" right="0.78740157480314998" top="0.78740157480314998" bottom="0.78740157480314998" header="5.7086614173228396" footer="0.59055118110236204"/>
  <pageSetup paperSize="9" orientation="portrait" r:id="rId1"/>
  <headerFooter alignWithMargins="0">
    <oddHeader>&amp;L_</oddHeader>
    <oddFooter>&amp;L41.211 v009  micro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59</vt:i4>
      </vt:variant>
    </vt:vector>
  </HeadingPairs>
  <TitlesOfParts>
    <vt:vector size="65" baseType="lpstr">
      <vt:lpstr>DADOS</vt:lpstr>
      <vt:lpstr>QCI</vt:lpstr>
      <vt:lpstr>CRONO</vt:lpstr>
      <vt:lpstr>RRE</vt:lpstr>
      <vt:lpstr>Ofício</vt:lpstr>
      <vt:lpstr>Listas</vt:lpstr>
      <vt:lpstr>CRONO!Area_de_impressao</vt:lpstr>
      <vt:lpstr>DADOS!Area_de_impressao</vt:lpstr>
      <vt:lpstr>Ofício!Area_de_impressao</vt:lpstr>
      <vt:lpstr>QCI!Area_de_impressao</vt:lpstr>
      <vt:lpstr>RRE!Area_de_impressao</vt:lpstr>
      <vt:lpstr>Brasao</vt:lpstr>
      <vt:lpstr>Crono.ColunaPadrão</vt:lpstr>
      <vt:lpstr>CRONO.firstcol</vt:lpstr>
      <vt:lpstr>CRONO.firstrow</vt:lpstr>
      <vt:lpstr>CRONO.formrow</vt:lpstr>
      <vt:lpstr>CRONO.InicioPrevisto</vt:lpstr>
      <vt:lpstr>CRONO.lastcol</vt:lpstr>
      <vt:lpstr>CRONO.lastrow</vt:lpstr>
      <vt:lpstr>CRONO.MedicoesRealizadas</vt:lpstr>
      <vt:lpstr>CRONO.ObsGeral1</vt:lpstr>
      <vt:lpstr>CRONO.ObsGeral2</vt:lpstr>
      <vt:lpstr>CRONO.ObsGeralBranco</vt:lpstr>
      <vt:lpstr>RRE!I.Lotes</vt:lpstr>
      <vt:lpstr>Import.CNPJLista</vt:lpstr>
      <vt:lpstr>Import.CTEFLista</vt:lpstr>
      <vt:lpstr>Import.FornecedorLista</vt:lpstr>
      <vt:lpstr>ListaGIGOV</vt:lpstr>
      <vt:lpstr>Objeto</vt:lpstr>
      <vt:lpstr>QCI.CP</vt:lpstr>
      <vt:lpstr>QCI.CPEnter</vt:lpstr>
      <vt:lpstr>QCI.Descricao</vt:lpstr>
      <vt:lpstr>QCI.Divisao</vt:lpstr>
      <vt:lpstr>QCI.Etapa</vt:lpstr>
      <vt:lpstr>QCI.firstrow</vt:lpstr>
      <vt:lpstr>QCI.Investimento</vt:lpstr>
      <vt:lpstr>QCI.InvestimentoEnter</vt:lpstr>
      <vt:lpstr>QCI.Item</vt:lpstr>
      <vt:lpstr>QCI.lastrow</vt:lpstr>
      <vt:lpstr>QCI.LinhaPadrão</vt:lpstr>
      <vt:lpstr>QCI.Lote</vt:lpstr>
      <vt:lpstr>QCI.Meta_SubMeta</vt:lpstr>
      <vt:lpstr>QCI.MetaNumero</vt:lpstr>
      <vt:lpstr>QCI.ObsGeral1</vt:lpstr>
      <vt:lpstr>QCI.ObsGeral2</vt:lpstr>
      <vt:lpstr>QCI.ObsGeralBranco</vt:lpstr>
      <vt:lpstr>QCI.Outros</vt:lpstr>
      <vt:lpstr>QCI.OutrosEnter</vt:lpstr>
      <vt:lpstr>QCI.Quantidade</vt:lpstr>
      <vt:lpstr>QCI.Repasse</vt:lpstr>
      <vt:lpstr>QCI.Situacao</vt:lpstr>
      <vt:lpstr>QCI.SubItem</vt:lpstr>
      <vt:lpstr>QCI.Unidade</vt:lpstr>
      <vt:lpstr>RRE.firstrow</vt:lpstr>
      <vt:lpstr>RRE.lastrow</vt:lpstr>
      <vt:lpstr>RRE.LinhaPadrão</vt:lpstr>
      <vt:lpstr>RRE.NumMedicao</vt:lpstr>
      <vt:lpstr>RRE.ObsGeral1</vt:lpstr>
      <vt:lpstr>RRE.ObsGeral2</vt:lpstr>
      <vt:lpstr>RRE.ObsGeralBranco</vt:lpstr>
      <vt:lpstr>RREMode</vt:lpstr>
      <vt:lpstr>CRONO!Titulos_de_impressao</vt:lpstr>
      <vt:lpstr>QCI!Titulos_de_impressao</vt:lpstr>
      <vt:lpstr>RRE!Titulos_de_impressao</vt:lpstr>
      <vt:lpstr>Versao</vt:lpstr>
    </vt:vector>
  </TitlesOfParts>
  <Company>Caixa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kastelo63@outlook.com</dc:creator>
  <cp:lastModifiedBy>kastelo63@outlook.com</cp:lastModifiedBy>
  <cp:lastPrinted>2024-07-30T18:14:22Z</cp:lastPrinted>
  <dcterms:created xsi:type="dcterms:W3CDTF">2014-09-26T18:49:26Z</dcterms:created>
  <dcterms:modified xsi:type="dcterms:W3CDTF">2024-09-27T19:10:55Z</dcterms:modified>
</cp:coreProperties>
</file>