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o\Desktop\Munic Rondinha - TRef Coleta RSD\Estudo e TRef - Revisão 1 - Out-2024\Etapa 2 - Projeto Básico e TRef\"/>
    </mc:Choice>
  </mc:AlternateContent>
  <bookViews>
    <workbookView xWindow="-120" yWindow="-120" windowWidth="19440" windowHeight="11640" tabRatio="802" activeTab="1"/>
  </bookViews>
  <sheets>
    <sheet name="Plan Diversas" sheetId="10" r:id="rId1"/>
    <sheet name="1. Coleta Domiciliar" sheetId="2" r:id="rId2"/>
    <sheet name="2.Encargos Sociais" sheetId="8" r:id="rId3"/>
    <sheet name="3.CAGED" sheetId="5" r:id="rId4"/>
    <sheet name="4.BDI" sheetId="4" r:id="rId5"/>
    <sheet name="5. Depreciação" sheetId="6" r:id="rId6"/>
    <sheet name="6.Remuneração de capital" sheetId="7" r:id="rId7"/>
    <sheet name="7. Dimensionamento" sheetId="9" r:id="rId8"/>
  </sheets>
  <externalReferences>
    <externalReference r:id="rId9"/>
  </externalReferences>
  <definedNames>
    <definedName name="AbaDeprec">'5. Depreciação'!$A$1</definedName>
    <definedName name="AbaRemun">'6.Remuneração de capital'!$A$1</definedName>
    <definedName name="_xlnm.Print_Area" localSheetId="2">'2.Encargos Sociais'!$A$1:$C$39</definedName>
    <definedName name="BDI_ComLucro">'[1]0. BDI'!$B$23</definedName>
    <definedName name="BDI_SemLucro">'[1]0. BDI'!$B$37</definedName>
    <definedName name="DiasColetaPorSemana_Organicos">'Plan Diversas'!$E$12</definedName>
    <definedName name="DiasColetaPorSemana_Reciclaveis">'Plan Diversas'!$E$13</definedName>
    <definedName name="DiasColetaPorSemanaTOTAL">'Plan Diversas'!$E$14</definedName>
    <definedName name="DiasUteis_Mes_Média">'[1]0. TABELAS'!$F$15</definedName>
    <definedName name="DMT_Transporte">'Plan Diversas'!$E$51</definedName>
    <definedName name="FrotaOrganicos">'[1]1. Coleta Resíduos'!$C$57</definedName>
    <definedName name="FrotaReciclaveis">'[1]1. Coleta Resíduos'!$C$58</definedName>
    <definedName name="FrotaTriagem">'[1]2.1. Triagem e Aterro'!$D$66</definedName>
    <definedName name="GeraçãoRejeitosPerCapita">'[1]0. Quantidades'!$E$18</definedName>
    <definedName name="População">'[1]0. Quantidades'!$G$22</definedName>
    <definedName name="ResumoValoresColetaContratada">'[1]1. Coleta Resíduos'!$A$4:$F$33</definedName>
    <definedName name="ResumoValoresColetaPrefeitura">'[1]1. Coleta Resíduos'!$A$34:$F$47</definedName>
    <definedName name="ResumoValoresTransporteContratada">'[1]2.2. Transporte e Aterro'!$A$4:$F$25</definedName>
    <definedName name="ResumoValoresTriagemContratada">'[1]2.1. Triagem e Aterro'!$A$4:$F$33</definedName>
    <definedName name="ResumoValoresTriagemPrefeitura">'[1]2.1. Triagem e Aterro'!$A$34:$F$53</definedName>
    <definedName name="Semanas_Mes_Média">'Plan Diversas'!$M$28</definedName>
    <definedName name="TabelaDadosCarga">'[1]0. TABELAS'!$B$18:$J$49</definedName>
    <definedName name="TabelaDensidadeResiduos">'[1]0. TABELAS'!$B$9:$C$15</definedName>
    <definedName name="TabelaDepreciacao">'[1]9. Depreciação'!$A$1:$B$18</definedName>
    <definedName name="TabelaEPIs">'[1]0. TABELAS'!$B$79:$E$93</definedName>
    <definedName name="TabelaFerramentas">'[1]0. TABELAS'!$B$96:$E$107</definedName>
    <definedName name="TabelaVeiculos">'[1]0. TABELAS'!$B$55:$M$74</definedName>
    <definedName name="TaxaSELIC">'[1]0. BDI'!$C$7</definedName>
    <definedName name="ValorSalarioMinimoNacional">'[1]0. TABELAS'!$C$6</definedName>
    <definedName name="Veiculo_Municipio">'[1]1. Coleta Resíduos'!$A$374</definedName>
    <definedName name="Veiculo_Organicos">'[1]1. Coleta Resíduos'!$A$148</definedName>
    <definedName name="Veiculo_Reciclaveis">'[1]1. Coleta Resíduos'!$A$232</definedName>
  </definedNames>
  <calcPr calcId="15251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6" i="2" l="1"/>
  <c r="D85" i="2"/>
  <c r="C204" i="2"/>
  <c r="D71" i="2" l="1"/>
  <c r="D57" i="2"/>
  <c r="D56" i="2" l="1"/>
  <c r="D55" i="2"/>
  <c r="D70" i="2"/>
  <c r="E70" i="2" s="1"/>
  <c r="D69" i="2"/>
  <c r="F59" i="10" l="1"/>
  <c r="C59" i="10"/>
  <c r="H57" i="10"/>
  <c r="H59" i="10" s="1"/>
  <c r="E57" i="10"/>
  <c r="G78" i="10"/>
  <c r="D143" i="2" s="1"/>
  <c r="G85" i="10"/>
  <c r="J57" i="10" l="1"/>
  <c r="J59" i="10" s="1"/>
  <c r="E59" i="10"/>
  <c r="C233" i="2" l="1"/>
  <c r="D191" i="2" l="1"/>
  <c r="C146" i="2" l="1"/>
  <c r="D131" i="2"/>
  <c r="E44" i="2" l="1"/>
  <c r="A44" i="2"/>
  <c r="E51" i="10" l="1"/>
  <c r="M27" i="10" l="1"/>
  <c r="M28" i="10" s="1"/>
  <c r="F60" i="10" l="1"/>
  <c r="G93" i="10"/>
  <c r="H93" i="10" s="1"/>
  <c r="F24" i="10"/>
  <c r="C23" i="10"/>
  <c r="F23" i="10"/>
  <c r="C24" i="10"/>
  <c r="E14" i="10"/>
  <c r="E91" i="10" s="1"/>
  <c r="J91" i="10" s="1"/>
  <c r="C84" i="2" s="1"/>
  <c r="F35" i="10"/>
  <c r="C35" i="10"/>
  <c r="H34" i="10"/>
  <c r="E34" i="10"/>
  <c r="H33" i="10"/>
  <c r="E33" i="10"/>
  <c r="F21" i="10"/>
  <c r="C21" i="10"/>
  <c r="H20" i="10"/>
  <c r="E20" i="10"/>
  <c r="C86" i="2" l="1"/>
  <c r="C85" i="2"/>
  <c r="F25" i="10"/>
  <c r="C184" i="2" s="1"/>
  <c r="G24" i="10"/>
  <c r="C25" i="10"/>
  <c r="G23" i="10"/>
  <c r="J33" i="10"/>
  <c r="J20" i="10"/>
  <c r="J21" i="10" s="1"/>
  <c r="J34" i="10"/>
  <c r="E21" i="10"/>
  <c r="H35" i="10"/>
  <c r="F36" i="10"/>
  <c r="H21" i="10"/>
  <c r="E35" i="10"/>
  <c r="C21" i="9"/>
  <c r="C14" i="9"/>
  <c r="C15" i="9" s="1"/>
  <c r="C185" i="2" l="1"/>
  <c r="C191" i="2" s="1"/>
  <c r="E191" i="2" s="1"/>
  <c r="C69" i="2"/>
  <c r="E69" i="2" s="1"/>
  <c r="C55" i="2"/>
  <c r="C189" i="2"/>
  <c r="F91" i="10"/>
  <c r="H91" i="10" s="1"/>
  <c r="C17" i="9"/>
  <c r="C22" i="9" s="1"/>
  <c r="C24" i="9" s="1"/>
  <c r="G25" i="10"/>
  <c r="J35" i="10"/>
  <c r="G92" i="10" s="1"/>
  <c r="H92" i="10" s="1"/>
  <c r="C193" i="2" l="1"/>
  <c r="C197" i="2"/>
  <c r="C195" i="2"/>
  <c r="C199" i="2"/>
  <c r="E71" i="2"/>
  <c r="H94" i="10"/>
  <c r="I94" i="10" s="1"/>
  <c r="I95" i="10" s="1"/>
  <c r="B47" i="2" s="1"/>
  <c r="B48" i="2" l="1"/>
  <c r="E87" i="2"/>
  <c r="E93" i="2"/>
  <c r="E120" i="2"/>
  <c r="E78" i="2"/>
  <c r="E99" i="2"/>
  <c r="E133" i="2"/>
  <c r="C23" i="5"/>
  <c r="E171" i="2" l="1"/>
  <c r="E155" i="2"/>
  <c r="E179" i="2"/>
  <c r="C176" i="2"/>
  <c r="C175" i="2"/>
  <c r="C177" i="2"/>
  <c r="A33" i="2" l="1"/>
  <c r="A32" i="2"/>
  <c r="A31" i="2"/>
  <c r="A23" i="2"/>
  <c r="A22" i="2"/>
  <c r="A16" i="2"/>
  <c r="C151" i="2" l="1"/>
  <c r="E40" i="2" l="1"/>
  <c r="E39" i="2"/>
  <c r="C97" i="2" l="1"/>
  <c r="C119" i="2"/>
  <c r="C91" i="2"/>
  <c r="C132" i="2"/>
  <c r="C92" i="2"/>
  <c r="C98" i="2"/>
  <c r="C170" i="2"/>
  <c r="C165" i="2"/>
  <c r="D199" i="2"/>
  <c r="D197" i="2"/>
  <c r="D195" i="2"/>
  <c r="D193" i="2"/>
  <c r="D125" i="2" l="1"/>
  <c r="E125" i="2" s="1"/>
  <c r="E109" i="2"/>
  <c r="E110" i="2"/>
  <c r="E111" i="2"/>
  <c r="E112" i="2"/>
  <c r="E113" i="2"/>
  <c r="E114" i="2"/>
  <c r="E115" i="2"/>
  <c r="E116" i="2"/>
  <c r="E117" i="2"/>
  <c r="E108" i="2"/>
  <c r="C213" i="2" l="1"/>
  <c r="A30" i="2"/>
  <c r="A29" i="2"/>
  <c r="A28" i="2"/>
  <c r="A27" i="2"/>
  <c r="A26" i="2"/>
  <c r="A25" i="2"/>
  <c r="A24" i="2"/>
  <c r="A21" i="2"/>
  <c r="A20" i="2"/>
  <c r="A19" i="2"/>
  <c r="A18" i="2"/>
  <c r="A17" i="2"/>
  <c r="C20" i="8"/>
  <c r="E237" i="2"/>
  <c r="E63" i="2"/>
  <c r="D159" i="2"/>
  <c r="C15" i="4"/>
  <c r="C20" i="4" s="1"/>
  <c r="C246" i="2" s="1"/>
  <c r="F13" i="4"/>
  <c r="E13" i="4"/>
  <c r="D13" i="4"/>
  <c r="C17" i="8"/>
  <c r="C25" i="5"/>
  <c r="E67" i="2"/>
  <c r="C211" i="2"/>
  <c r="E211" i="2" s="1"/>
  <c r="E193" i="2"/>
  <c r="D189" i="2"/>
  <c r="D200" i="2" s="1"/>
  <c r="E143" i="2"/>
  <c r="D164" i="2"/>
  <c r="C152" i="2"/>
  <c r="C147" i="2"/>
  <c r="C235" i="2"/>
  <c r="E235" i="2" s="1"/>
  <c r="D236" i="2" s="1"/>
  <c r="E236" i="2" s="1"/>
  <c r="C148" i="2"/>
  <c r="C164" i="2" s="1"/>
  <c r="A39" i="2"/>
  <c r="A40" i="2"/>
  <c r="E54" i="2"/>
  <c r="A91" i="2"/>
  <c r="A97" i="2" s="1"/>
  <c r="A92" i="2"/>
  <c r="A98" i="2" s="1"/>
  <c r="E118" i="2"/>
  <c r="D126" i="2"/>
  <c r="E126" i="2" s="1"/>
  <c r="D127" i="2"/>
  <c r="E127" i="2" s="1"/>
  <c r="D128" i="2"/>
  <c r="E128" i="2" s="1"/>
  <c r="D129" i="2"/>
  <c r="E129" i="2" s="1"/>
  <c r="D130" i="2"/>
  <c r="E130" i="2" s="1"/>
  <c r="E131" i="2"/>
  <c r="E209" i="2"/>
  <c r="E177" i="2"/>
  <c r="E176" i="2"/>
  <c r="E221" i="2"/>
  <c r="E224" i="2"/>
  <c r="E225" i="2"/>
  <c r="E222" i="2"/>
  <c r="E223" i="2"/>
  <c r="D73" i="2" l="1"/>
  <c r="E73" i="2" s="1"/>
  <c r="E74" i="2" s="1"/>
  <c r="F226" i="2"/>
  <c r="F228" i="2" s="1"/>
  <c r="E31" i="2" s="1"/>
  <c r="C27" i="5"/>
  <c r="C28" i="5" s="1"/>
  <c r="C26" i="5"/>
  <c r="C31" i="8" s="1"/>
  <c r="D146" i="2"/>
  <c r="E146" i="2" s="1"/>
  <c r="D175" i="2"/>
  <c r="E197" i="2"/>
  <c r="E199" i="2"/>
  <c r="E92" i="2"/>
  <c r="E189" i="2"/>
  <c r="E148" i="2"/>
  <c r="C166" i="2" s="1"/>
  <c r="D119" i="2"/>
  <c r="E91" i="2"/>
  <c r="F93" i="2" s="1"/>
  <c r="E41" i="2"/>
  <c r="E97" i="2"/>
  <c r="E85" i="2"/>
  <c r="E164" i="2"/>
  <c r="E98" i="2"/>
  <c r="E195" i="2"/>
  <c r="E204" i="2"/>
  <c r="F205" i="2" s="1"/>
  <c r="E29" i="2" s="1"/>
  <c r="E233" i="2"/>
  <c r="D234" i="2" s="1"/>
  <c r="E234" i="2" s="1"/>
  <c r="F237" i="2" s="1"/>
  <c r="F239" i="2" s="1"/>
  <c r="E32" i="2" s="1"/>
  <c r="E159" i="2"/>
  <c r="D212" i="2"/>
  <c r="E212" i="2" s="1"/>
  <c r="D213" i="2" s="1"/>
  <c r="E213" i="2" s="1"/>
  <c r="F214" i="2" s="1"/>
  <c r="E30" i="2" s="1"/>
  <c r="E86" i="2"/>
  <c r="D132" i="2"/>
  <c r="F87" i="2" l="1"/>
  <c r="E19" i="2" s="1"/>
  <c r="C30" i="8"/>
  <c r="C33" i="5"/>
  <c r="C27" i="8" s="1"/>
  <c r="C35" i="8" s="1"/>
  <c r="D147" i="2"/>
  <c r="E147" i="2" s="1"/>
  <c r="E175" i="2"/>
  <c r="D178" i="2" s="1"/>
  <c r="E178" i="2" s="1"/>
  <c r="F179" i="2" s="1"/>
  <c r="E27" i="2" s="1"/>
  <c r="C161" i="2"/>
  <c r="C162" i="2" s="1"/>
  <c r="D163" i="2" s="1"/>
  <c r="E163" i="2" s="1"/>
  <c r="C28" i="8"/>
  <c r="C19" i="8"/>
  <c r="C25" i="8" s="1"/>
  <c r="C34" i="8" s="1"/>
  <c r="F99" i="2"/>
  <c r="E21" i="2" s="1"/>
  <c r="E132" i="2"/>
  <c r="F133" i="2" s="1"/>
  <c r="E119" i="2"/>
  <c r="F120" i="2" s="1"/>
  <c r="D151" i="2"/>
  <c r="E151" i="2" s="1"/>
  <c r="D152" i="2" s="1"/>
  <c r="E152" i="2" s="1"/>
  <c r="F201" i="2"/>
  <c r="E28" i="2" s="1"/>
  <c r="D75" i="2"/>
  <c r="C29" i="8" l="1"/>
  <c r="C32" i="8" s="1"/>
  <c r="C36" i="8"/>
  <c r="E153" i="2"/>
  <c r="D154" i="2" s="1"/>
  <c r="E154" i="2" s="1"/>
  <c r="F155" i="2" s="1"/>
  <c r="E25" i="2" s="1"/>
  <c r="C167" i="2"/>
  <c r="D168" i="2" s="1"/>
  <c r="E168" i="2" s="1"/>
  <c r="E169" i="2" s="1"/>
  <c r="D170" i="2" s="1"/>
  <c r="E170" i="2" s="1"/>
  <c r="F171" i="2" s="1"/>
  <c r="F135" i="2"/>
  <c r="E22" i="2" s="1"/>
  <c r="C37" i="8" l="1"/>
  <c r="C75" i="2" s="1"/>
  <c r="E26" i="2"/>
  <c r="E24" i="2" s="1"/>
  <c r="F216" i="2"/>
  <c r="E23" i="2" l="1"/>
  <c r="C60" i="2"/>
  <c r="E75" i="2"/>
  <c r="E76" i="2" s="1"/>
  <c r="D77" i="2" s="1"/>
  <c r="E77" i="2" s="1"/>
  <c r="F78" i="2" s="1"/>
  <c r="E18" i="2" l="1"/>
  <c r="E20" i="2"/>
  <c r="E56" i="2"/>
  <c r="E55" i="2"/>
  <c r="E57" i="2" l="1"/>
  <c r="D58" i="2" l="1"/>
  <c r="E58" i="2" s="1"/>
  <c r="E59" i="2" s="1"/>
  <c r="D60" i="2" s="1"/>
  <c r="E60" i="2" s="1"/>
  <c r="E61" i="2" s="1"/>
  <c r="D62" i="2" s="1"/>
  <c r="E62" i="2" s="1"/>
  <c r="F63" i="2" s="1"/>
  <c r="F101" i="2" l="1"/>
  <c r="F241" i="2" s="1"/>
  <c r="E17" i="2"/>
  <c r="E16" i="2" l="1"/>
  <c r="D246" i="2"/>
  <c r="E246" i="2" s="1"/>
  <c r="F247" i="2" s="1"/>
  <c r="F249" i="2" s="1"/>
  <c r="E33" i="2" s="1"/>
  <c r="F252" i="2" l="1"/>
  <c r="E34" i="2"/>
  <c r="F16" i="2" s="1"/>
  <c r="F26" i="2" l="1"/>
  <c r="F32" i="2"/>
  <c r="F20" i="2"/>
  <c r="F18" i="2"/>
  <c r="F30" i="2"/>
  <c r="F19" i="2"/>
  <c r="F27" i="2"/>
  <c r="F22" i="2"/>
  <c r="F24" i="2"/>
  <c r="F25" i="2"/>
  <c r="F29" i="2"/>
  <c r="F23" i="2"/>
  <c r="F21" i="2"/>
  <c r="F31" i="2"/>
  <c r="F28" i="2"/>
  <c r="F17" i="2"/>
  <c r="F33" i="2"/>
  <c r="F34" i="2" l="1"/>
</calcChain>
</file>

<file path=xl/comments1.xml><?xml version="1.0" encoding="utf-8"?>
<comments xmlns="http://schemas.openxmlformats.org/spreadsheetml/2006/main">
  <authors>
    <author>Paulo</author>
  </authors>
  <commentList>
    <comment ref="F60" authorId="0" shapeId="0">
      <text>
        <r>
          <rPr>
            <b/>
            <sz val="9"/>
            <color indexed="81"/>
            <rFont val="Segoe UI"/>
            <charset val="1"/>
          </rPr>
          <t>Paulo:</t>
        </r>
        <r>
          <rPr>
            <sz val="9"/>
            <color indexed="81"/>
            <rFont val="Segoe UI"/>
            <charset val="1"/>
          </rPr>
          <t xml:space="preserve">
Nesta fórmula estão sendo reduzidos dois dias por mês da rota semanal, tendo em vista que na 2ª e 3ª semana do mês, a rota semanal será executada em conjunto com a rota mensal, estando a distância de coleta rodada inserida nos Roteiros 2.1 e 2.2.</t>
        </r>
      </text>
    </comment>
    <comment ref="G93" authorId="0" shapeId="0">
      <text>
        <r>
          <rPr>
            <b/>
            <sz val="9"/>
            <color indexed="81"/>
            <rFont val="Segoe UI"/>
            <charset val="1"/>
          </rPr>
          <t>Paulo:</t>
        </r>
        <r>
          <rPr>
            <sz val="9"/>
            <color indexed="81"/>
            <rFont val="Segoe UI"/>
            <charset val="1"/>
          </rPr>
          <t xml:space="preserve">
Nesta fórmula estão sendo reduzidos dois dias por mês da rota semanal, tendo em vista que na 2ª e 3ª semana do mês, a rota semanal será executada em conjunto com a rota mensal, estando portanto as horas de trabalho inseridas nos Roteiros 2.1 e 2.2 acima.</t>
        </r>
      </text>
    </comment>
  </commentList>
</comments>
</file>

<file path=xl/comments2.xml><?xml version="1.0" encoding="utf-8"?>
<comments xmlns="http://schemas.openxmlformats.org/spreadsheetml/2006/main">
  <authors>
    <author>Clauber Bridi</author>
    <author>Paulo</author>
  </authors>
  <commentList>
    <comment ref="A14" authorId="0" shapeId="0">
      <text>
        <r>
          <rPr>
            <sz val="9"/>
            <color indexed="81"/>
            <rFont val="Tahoma"/>
            <family val="2"/>
          </rPr>
          <t>Qualquer custo previsto no edital e não contemplado nesta planilha modelo deverá ser devidamente incluído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47" authorId="0" shapeId="0">
      <text>
        <r>
          <rPr>
            <b/>
            <sz val="9"/>
            <color indexed="81"/>
            <rFont val="Tahoma"/>
            <family val="2"/>
          </rPr>
          <t>– Informar o fator de utilização das equipes de coleta. 
– Calculada automaticamente através da tabela da guia 'Plan Diversas'
– Preencher caso a licitante considere necessário alterar de acordo com o critério abaixo:
– Por exemplo:
       - Equipes com utilização integral = 100%
       - Equipes com utilização parcial = n° horas trabalhadas por semana /44 horas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54" authorId="0" shapeId="0">
      <text>
        <r>
          <rPr>
            <sz val="9"/>
            <color indexed="81"/>
            <rFont val="Tahoma"/>
            <family val="2"/>
          </rPr>
          <t>Informar o Piso da categoria fixado na Convenção Coletiva</t>
        </r>
      </text>
    </comment>
    <comment ref="C55" authorId="1" shapeId="0">
      <text>
        <r>
          <rPr>
            <b/>
            <sz val="10"/>
            <color indexed="81"/>
            <rFont val="Segoe UI"/>
            <family val="2"/>
          </rPr>
          <t>Cálculo: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i/>
            <sz val="10"/>
            <color indexed="81"/>
            <rFont val="Segoe UI"/>
            <family val="2"/>
          </rPr>
          <t>São 15 feriados anuais multiplicado por horas trabalhadas por feriado dividido por 12 meses.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u/>
            <sz val="10"/>
            <color indexed="81"/>
            <rFont val="Segoe UI"/>
            <family val="2"/>
          </rPr>
          <t>LISTA DE FERIADOS FEDERAIS, ESTADUAIS E MUNICIPAIS (Rondinha):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>Feriados Federais:</t>
        </r>
        <r>
          <rPr>
            <sz val="10"/>
            <color indexed="81"/>
            <rFont val="Segoe UI"/>
            <family val="2"/>
          </rPr>
          <t xml:space="preserve">
1 Ano Novo - 1 de janeiro
2 Sexta-feira Santa - Data variável
3 Páscoa - Data variável
4 Tiradentes - 21 de abril
5 Trabalho - 1 de maio
6 Independência do Brasil - 7 de setembro
7 Nossa Senhora Aparecida - 12 de outubro
8 Finados - 2 de novembro
9 Proclamação da República - 15 de novembro
10 Dia da consciência negra - 20 de novembro
11 Natal - 25 de dezembro
</t>
        </r>
        <r>
          <rPr>
            <b/>
            <sz val="10"/>
            <color indexed="81"/>
            <rFont val="Segoe UI"/>
            <family val="2"/>
          </rPr>
          <t>Feriados Estaduais (Rio Grande do Sul):</t>
        </r>
        <r>
          <rPr>
            <sz val="10"/>
            <color indexed="81"/>
            <rFont val="Segoe UI"/>
            <family val="2"/>
          </rPr>
          <t xml:space="preserve">
12 Revolução Farroupilha - 20 de setembro
</t>
        </r>
        <r>
          <rPr>
            <b/>
            <sz val="10"/>
            <color indexed="81"/>
            <rFont val="Segoe UI"/>
            <family val="2"/>
          </rPr>
          <t>Feriados Municipais:</t>
        </r>
        <r>
          <rPr>
            <sz val="10"/>
            <color indexed="81"/>
            <rFont val="Segoe UI"/>
            <family val="2"/>
          </rPr>
          <t xml:space="preserve">
13 Feriado 1 = VER NOME - 28 de março
14 Feriado 2 = VER NOME - 13 de junho
15 Feriado 3 = VER NOME - 21 de novembro</t>
        </r>
      </text>
    </comment>
    <comment ref="A57" authorId="0" shapeId="0">
      <text>
        <r>
          <rPr>
            <sz val="9"/>
            <color indexed="81"/>
            <rFont val="Tahoma"/>
            <family val="2"/>
          </rPr>
          <t xml:space="preserve">Cálculo do descanso semanal remunerado incidente sobre as horas extras habitualmente prestadas. Considerada a média de 52 domingos + 14 feriados, sendo portanto 299 dias trabalhados por ano
</t>
        </r>
      </text>
    </comment>
    <comment ref="C60" authorId="0" shapeId="0">
      <text>
        <r>
          <rPr>
            <sz val="9"/>
            <color indexed="81"/>
            <rFont val="Tahoma"/>
            <family val="2"/>
          </rPr>
          <t xml:space="preserve">Preencher a planilha Encargos Sociais e CAGED </t>
        </r>
      </text>
    </comment>
    <comment ref="C62" authorId="0" shapeId="0">
      <text>
        <r>
          <rPr>
            <sz val="9"/>
            <color indexed="81"/>
            <rFont val="Tahoma"/>
            <family val="2"/>
          </rPr>
          <t>Informar a quantidade de trabalhadores na função</t>
        </r>
      </text>
    </comment>
    <comment ref="D67" authorId="0" shapeId="0">
      <text>
        <r>
          <rPr>
            <sz val="9"/>
            <color indexed="81"/>
            <rFont val="Tahoma"/>
            <family val="2"/>
          </rPr>
          <t>Informar o Piso da categoria fixado na Convenção Coletiva</t>
        </r>
      </text>
    </comment>
    <comment ref="D68" authorId="0" shapeId="0">
      <text>
        <r>
          <rPr>
            <sz val="9"/>
            <color indexed="81"/>
            <rFont val="Tahoma"/>
            <family val="2"/>
          </rPr>
          <t>Informar o valor do salário Mínimo Nacional</t>
        </r>
      </text>
    </comment>
    <comment ref="C69" authorId="1" shapeId="0">
      <text>
        <r>
          <rPr>
            <b/>
            <sz val="10"/>
            <color indexed="81"/>
            <rFont val="Segoe UI"/>
            <family val="2"/>
          </rPr>
          <t>Cálculo: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i/>
            <sz val="10"/>
            <color indexed="81"/>
            <rFont val="Segoe UI"/>
            <family val="2"/>
          </rPr>
          <t>São 15 feriados anuais multiplicado por horas trabalhadas por feriado dividido por 12 meses.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u/>
            <sz val="10"/>
            <color indexed="81"/>
            <rFont val="Segoe UI"/>
            <family val="2"/>
          </rPr>
          <t>LISTA DE FERIADOS FEDERAIS, ESTADUAIS E MUNICIPAIS (Rondinha):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>Feriados Federais:</t>
        </r>
        <r>
          <rPr>
            <sz val="10"/>
            <color indexed="81"/>
            <rFont val="Segoe UI"/>
            <family val="2"/>
          </rPr>
          <t xml:space="preserve">
1 Ano Novo - 1 de janeiro
2 Sexta-feira Santa - Data variável
3 Páscoa - Data variável
4 Tiradentes - 21 de abril
5 Trabalho - 1 de maio
6 Independência do Brasil - 7 de setembro
7 Nossa Senhora Aparecida - 12 de outubro
8 Finados - 2 de novembro
9 Proclamação da República - 15 de novembro
10 Dia da consciência negra - 20 de novembro
11 Natal - 25 de dezembro
</t>
        </r>
        <r>
          <rPr>
            <b/>
            <sz val="10"/>
            <color indexed="81"/>
            <rFont val="Segoe UI"/>
            <family val="2"/>
          </rPr>
          <t>Feriados Estaduais (Rio Grande do Sul):</t>
        </r>
        <r>
          <rPr>
            <sz val="10"/>
            <color indexed="81"/>
            <rFont val="Segoe UI"/>
            <family val="2"/>
          </rPr>
          <t xml:space="preserve">
12 Revolução Farroupilha - 20 de setembro
</t>
        </r>
        <r>
          <rPr>
            <b/>
            <sz val="10"/>
            <color indexed="81"/>
            <rFont val="Segoe UI"/>
            <family val="2"/>
          </rPr>
          <t>Feriados Municipais:</t>
        </r>
        <r>
          <rPr>
            <sz val="10"/>
            <color indexed="81"/>
            <rFont val="Segoe UI"/>
            <family val="2"/>
          </rPr>
          <t xml:space="preserve">
13 Feriado 1 = VER NOME - 28 de março
14 Feriado 2 = VER NOME - 13 de junho
15 Feriado 3 = VER NOME - 21 de novembro</t>
        </r>
      </text>
    </comment>
    <comment ref="C72" authorId="0" shapeId="0">
      <text>
        <r>
          <rPr>
            <sz val="9"/>
            <color indexed="81"/>
            <rFont val="Tahoma"/>
            <family val="2"/>
          </rPr>
          <t xml:space="preserve">Informar 1 se a base de cálculo for o Salário Mínimo Nacional; Informar 2 se a base de cálculo for o Piso da Categoria; 
</t>
        </r>
      </text>
    </comment>
    <comment ref="C73" authorId="0" shapeId="0">
      <text>
        <r>
          <rPr>
            <sz val="9"/>
            <color indexed="81"/>
            <rFont val="Tahoma"/>
            <family val="2"/>
          </rPr>
          <t>Percentual estabelecido nas Normas de Segurança de Trabalho ou pelo laudo de responsável técnico devidamente habilitado</t>
        </r>
      </text>
    </comment>
    <comment ref="C75" authorId="0" shapeId="0">
      <text>
        <r>
          <rPr>
            <sz val="9"/>
            <color indexed="81"/>
            <rFont val="Tahoma"/>
            <family val="2"/>
          </rPr>
          <t xml:space="preserve">Preencher a planilha Encargos Sociais e CAGED </t>
        </r>
      </text>
    </comment>
    <comment ref="C77" authorId="0" shapeId="0">
      <text>
        <r>
          <rPr>
            <sz val="9"/>
            <color indexed="81"/>
            <rFont val="Tahoma"/>
            <family val="2"/>
          </rPr>
          <t>Informar a quantidade de trabalhadores na função</t>
        </r>
      </text>
    </comment>
    <comment ref="D83" authorId="0" shapeId="0">
      <text>
        <r>
          <rPr>
            <sz val="9"/>
            <color indexed="81"/>
            <rFont val="Tahoma"/>
            <family val="2"/>
          </rPr>
          <t>Informar o valor unitário do VT no município</t>
        </r>
      </text>
    </comment>
    <comment ref="C84" authorId="0" shapeId="0">
      <text>
        <r>
          <rPr>
            <sz val="9"/>
            <color indexed="81"/>
            <rFont val="Tahoma"/>
            <family val="2"/>
          </rPr>
          <t>Informar o número médio de dias trabalhados por mês</t>
        </r>
      </text>
    </comment>
    <comment ref="D85" authorId="0" shapeId="0">
      <text>
        <r>
          <rPr>
            <sz val="9"/>
            <color indexed="81"/>
            <rFont val="Tahoma"/>
            <family val="2"/>
          </rPr>
          <t>Valor Unitário considerando o desconto legal de até 6% do salário</t>
        </r>
      </text>
    </comment>
    <comment ref="D86" authorId="0" shapeId="0">
      <text>
        <r>
          <rPr>
            <sz val="9"/>
            <color indexed="81"/>
            <rFont val="Tahoma"/>
            <family val="2"/>
          </rPr>
          <t xml:space="preserve">Valor Unitário considerando o desconto legal de até 6% do salário
</t>
        </r>
      </text>
    </comment>
    <comment ref="D91" authorId="0" shapeId="0">
      <text>
        <r>
          <rPr>
            <sz val="9"/>
            <color indexed="81"/>
            <rFont val="Tahoma"/>
            <family val="2"/>
          </rPr>
          <t>Informar o valor unitário diário do vale refeição, considerando o desconto aplicável ao funcionário, conforme Convenção Coletiva da categoria.</t>
        </r>
      </text>
    </comment>
    <comment ref="D92" authorId="0" shapeId="0">
      <text>
        <r>
          <rPr>
            <sz val="9"/>
            <color indexed="81"/>
            <rFont val="Tahoma"/>
            <family val="2"/>
          </rPr>
          <t>Informar o valor unitário diário do vale refeição, considerando o desconto aplicável ao funcionário, conforme Convenção Coletiva da categoria.</t>
        </r>
      </text>
    </comment>
    <comment ref="D97" authorId="0" shapeId="0">
      <text>
        <r>
          <rPr>
            <sz val="9"/>
            <color indexed="81"/>
            <rFont val="Tahoma"/>
            <family val="2"/>
          </rPr>
          <t>Informar o valor mensal do auxilio alimentação, considerando o desconto aplicável ao funcionário, conforme Convenção Coletiva da categoria</t>
        </r>
      </text>
    </comment>
    <comment ref="D98" authorId="0" shapeId="0">
      <text>
        <r>
          <rPr>
            <sz val="9"/>
            <color indexed="81"/>
            <rFont val="Tahoma"/>
            <family val="2"/>
          </rPr>
          <t>Informar o valor mensal do auxilio alimentação, considerando o desconto aplicável ao funcionário, conforme Convenção Coletiva da categoria</t>
        </r>
      </text>
    </comment>
    <comment ref="C108" authorId="0" shapeId="0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D108" authorId="0" shapeId="0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C109" authorId="0" shapeId="0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D109" authorId="0" shapeId="0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C110" authorId="0" shapeId="0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D110" authorId="0" shapeId="0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C111" authorId="0" shapeId="0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D111" authorId="0" shapeId="0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C112" authorId="0" shapeId="0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D112" authorId="0" shapeId="0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C113" authorId="0" shapeId="0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D113" authorId="0" shapeId="0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C114" authorId="0" shapeId="0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D114" authorId="0" shapeId="0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C115" authorId="0" shapeId="0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D115" authorId="0" shapeId="0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C116" authorId="0" shapeId="0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D116" authorId="0" shapeId="0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C117" authorId="0" shapeId="0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D117" authorId="0" shapeId="0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D118" authorId="0" shapeId="0">
      <text>
        <r>
          <rPr>
            <sz val="9"/>
            <color indexed="81"/>
            <rFont val="Tahoma"/>
            <family val="2"/>
          </rPr>
          <t>Informar o valor mensal de higienização de uniforme para 1 funcionário</t>
        </r>
      </text>
    </comment>
    <comment ref="C125" authorId="0" shapeId="0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C126" authorId="0" shapeId="0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C127" authorId="0" shapeId="0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C128" authorId="0" shapeId="0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C129" authorId="0" shapeId="0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C130" authorId="0" shapeId="0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D131" authorId="0" shapeId="0">
      <text>
        <r>
          <rPr>
            <sz val="9"/>
            <color indexed="81"/>
            <rFont val="Tahoma"/>
            <family val="2"/>
          </rPr>
          <t>Informar o valor mensal de higienização de uniforme para 1 funcionário</t>
        </r>
      </text>
    </comment>
    <comment ref="D143" authorId="0" shapeId="0">
      <text>
        <r>
          <rPr>
            <sz val="9"/>
            <color indexed="81"/>
            <rFont val="Tahoma"/>
            <family val="2"/>
          </rPr>
          <t>Informar o preço unitário do chassis do caminhão de coleta
Para este exemplo foi utilizado valor médio da FIPE coforme tabela na guia 'Plan Diversas' deste arquivo</t>
        </r>
      </text>
    </comment>
    <comment ref="C144" authorId="0" shapeId="0">
      <text>
        <r>
          <rPr>
            <sz val="9"/>
            <color indexed="81"/>
            <rFont val="Tahoma"/>
            <family val="2"/>
          </rPr>
          <t>Informar a vida útil estimada para o caminhão, em anos</t>
        </r>
      </text>
    </comment>
    <comment ref="C145" authorId="0" shapeId="0">
      <text>
        <r>
          <rPr>
            <sz val="9"/>
            <color indexed="81"/>
            <rFont val="Tahoma"/>
            <family val="2"/>
          </rPr>
          <t>Na elaboração do orçamento-base da licitação, informar 0 (zero). Na proposta da licitante, informar a idade do veículo proposto.</t>
        </r>
      </text>
    </comment>
    <comment ref="C146" authorId="0" shapeId="0">
      <text>
        <r>
          <rPr>
            <b/>
            <sz val="9"/>
            <color indexed="81"/>
            <rFont val="Tahoma"/>
            <family val="2"/>
          </rPr>
          <t xml:space="preserve">Informar o valor da depreciação do caminhão, adotando o valor sugerido pelo TCE ou outro valor estimado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48" authorId="0" shapeId="0">
      <text>
        <r>
          <rPr>
            <sz val="9"/>
            <color indexed="81"/>
            <rFont val="Tahoma"/>
            <family val="2"/>
          </rPr>
          <t xml:space="preserve">Informar o preço unitário do equipamento compactador
</t>
        </r>
      </text>
    </comment>
    <comment ref="C149" authorId="0" shapeId="0">
      <text>
        <r>
          <rPr>
            <sz val="9"/>
            <color indexed="81"/>
            <rFont val="Tahoma"/>
            <family val="2"/>
          </rPr>
          <t>Informar a vida útil estimada para o compactador, em anos</t>
        </r>
      </text>
    </comment>
    <comment ref="C150" authorId="0" shapeId="0">
      <text>
        <r>
          <rPr>
            <sz val="9"/>
            <color indexed="81"/>
            <rFont val="Tahoma"/>
            <family val="2"/>
          </rPr>
          <t>Na elaboração do orçamento-base da licitação, informar 0 (zero). Na proposta da licitante, informar a idade do compactador proposto.</t>
        </r>
      </text>
    </comment>
    <comment ref="C151" authorId="0" shapeId="0">
      <text>
        <r>
          <rPr>
            <b/>
            <sz val="9"/>
            <color indexed="81"/>
            <rFont val="Tahoma"/>
            <family val="2"/>
          </rPr>
          <t xml:space="preserve">Informar o valor da depreciação do compactador, adotando o valor sugerido pelo TCE ou outro valor estimado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54" authorId="0" shapeId="0">
      <text>
        <r>
          <rPr>
            <sz val="9"/>
            <color indexed="81"/>
            <rFont val="Tahoma"/>
            <family val="2"/>
          </rPr>
          <t>Informar a quantidade de caminhões compactadores do respectivo modelo</t>
        </r>
      </text>
    </comment>
    <comment ref="C160" authorId="0" shapeId="0">
      <text>
        <r>
          <rPr>
            <b/>
            <sz val="9"/>
            <color indexed="81"/>
            <rFont val="Tahoma"/>
            <family val="2"/>
          </rPr>
          <t>Informar a taxa de juros anual para remuneração do capital. Recomenda-se o uso da Taxa SELIC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76" authorId="0" shapeId="0">
      <text>
        <r>
          <rPr>
            <sz val="9"/>
            <color indexed="81"/>
            <rFont val="Tahoma"/>
            <family val="2"/>
          </rPr>
          <t xml:space="preserve">Informar o valor do seguro obrigatório e licenciamento anual de um caminhão
</t>
        </r>
      </text>
    </comment>
    <comment ref="D177" authorId="0" shapeId="0">
      <text>
        <r>
          <rPr>
            <sz val="9"/>
            <color indexed="81"/>
            <rFont val="Tahoma"/>
            <family val="2"/>
          </rPr>
          <t xml:space="preserve">Informar o valor do seguro contra terceiros de um caminhão, se houver previsão no Projeto Básico
</t>
        </r>
      </text>
    </comment>
    <comment ref="C184" authorId="0" shapeId="0">
      <text>
        <r>
          <rPr>
            <sz val="9"/>
            <color indexed="81"/>
            <rFont val="Tahoma"/>
            <family val="2"/>
          </rPr>
          <t xml:space="preserve">Trata-se do somatório da quilometragem mensal percorrida para o Roteiro 1, Roteiro 2.1 e 2.2 e Roteiro 3, de acordo com o projeto básico, com deslocamento até o ponto de início das coletas e para o transporte dos resíduos desde o fim do roteiro de coleta até o aterro sanitário.
</t>
        </r>
      </text>
    </comment>
    <comment ref="C185" authorId="0" shapeId="0">
      <text>
        <r>
          <rPr>
            <sz val="9"/>
            <color indexed="81"/>
            <rFont val="Tahoma"/>
            <family val="2"/>
          </rPr>
          <t>Trata-se do somatório da quilometragem mensal percorrida, para o Roteiro 1, Roteiros 2.1 e 2.2 e Roteiro 3, de acordo com o projeto básico, para execução do deslocamento ao longo dos roteiros de coletas propriamente ditos, desde o ponto de início até o ponto final de cada roteiro de coleta.</t>
        </r>
      </text>
    </comment>
    <comment ref="C188" authorId="0" shapeId="0">
      <text>
        <r>
          <rPr>
            <sz val="9"/>
            <color indexed="81"/>
            <rFont val="Tahoma"/>
            <family val="2"/>
          </rPr>
          <t>Informar o consumo estimado do veículo em km/l</t>
        </r>
      </text>
    </comment>
    <comment ref="D188" authorId="0" shapeId="0">
      <text>
        <r>
          <rPr>
            <sz val="9"/>
            <color indexed="81"/>
            <rFont val="Tahoma"/>
            <family val="2"/>
          </rPr>
          <t xml:space="preserve">Informar o preço unitário do combustivel
</t>
        </r>
      </text>
    </comment>
    <comment ref="C190" authorId="0" shapeId="0">
      <text>
        <r>
          <rPr>
            <sz val="9"/>
            <color indexed="81"/>
            <rFont val="Tahoma"/>
            <family val="2"/>
          </rPr>
          <t>Informar o consumo estimado do veículo em km/l</t>
        </r>
      </text>
    </comment>
    <comment ref="D190" authorId="0" shapeId="0">
      <text>
        <r>
          <rPr>
            <sz val="9"/>
            <color indexed="81"/>
            <rFont val="Tahoma"/>
            <family val="2"/>
          </rPr>
          <t xml:space="preserve">Informar o preço unitário do combustivel
</t>
        </r>
      </text>
    </comment>
    <comment ref="C192" authorId="0" shapeId="0">
      <text>
        <r>
          <rPr>
            <sz val="9"/>
            <color indexed="81"/>
            <rFont val="Tahoma"/>
            <family val="2"/>
          </rPr>
          <t>Informar o consumo de óleo do motor a cada 1000km</t>
        </r>
      </text>
    </comment>
    <comment ref="D192" authorId="0" shapeId="0">
      <text>
        <r>
          <rPr>
            <sz val="9"/>
            <color indexed="81"/>
            <rFont val="Tahoma"/>
            <family val="2"/>
          </rPr>
          <t xml:space="preserve">Informar o preço unitário do litro do óleo do motor
</t>
        </r>
      </text>
    </comment>
    <comment ref="C194" authorId="0" shapeId="0">
      <text>
        <r>
          <rPr>
            <sz val="9"/>
            <color indexed="81"/>
            <rFont val="Tahoma"/>
            <family val="2"/>
          </rPr>
          <t>Informar o consumo de óleo da transmissão a cada 1000km</t>
        </r>
      </text>
    </comment>
    <comment ref="D194" authorId="0" shapeId="0">
      <text>
        <r>
          <rPr>
            <sz val="9"/>
            <color indexed="81"/>
            <rFont val="Tahoma"/>
            <family val="2"/>
          </rPr>
          <t xml:space="preserve">Informar o preço unitário do litro do óleo da transmissão
</t>
        </r>
      </text>
    </comment>
    <comment ref="C196" authorId="0" shapeId="0">
      <text>
        <r>
          <rPr>
            <sz val="9"/>
            <color indexed="81"/>
            <rFont val="Tahoma"/>
            <family val="2"/>
          </rPr>
          <t>Informar o consumo de óleo hidráulico a cada 1000km</t>
        </r>
      </text>
    </comment>
    <comment ref="D196" authorId="0" shapeId="0">
      <text>
        <r>
          <rPr>
            <sz val="9"/>
            <color indexed="81"/>
            <rFont val="Tahoma"/>
            <family val="2"/>
          </rPr>
          <t xml:space="preserve">Informar o preço unitário do litro do óleo hidráulico
</t>
        </r>
      </text>
    </comment>
    <comment ref="C198" authorId="0" shapeId="0">
      <text>
        <r>
          <rPr>
            <sz val="9"/>
            <color indexed="81"/>
            <rFont val="Tahoma"/>
            <family val="2"/>
          </rPr>
          <t>Informar o consumo de graxa a cada 1000km</t>
        </r>
      </text>
    </comment>
    <comment ref="D198" authorId="0" shapeId="0">
      <text>
        <r>
          <rPr>
            <sz val="9"/>
            <color indexed="81"/>
            <rFont val="Tahoma"/>
            <family val="2"/>
          </rPr>
          <t xml:space="preserve">Informar o preço unitário do litro da graxa
</t>
        </r>
      </text>
    </comment>
    <comment ref="D204" authorId="0" shapeId="0">
      <text>
        <r>
          <rPr>
            <sz val="9"/>
            <color indexed="81"/>
            <rFont val="Tahoma"/>
            <family val="2"/>
          </rPr>
          <t xml:space="preserve">Informar o custo de manutenção em R$/km rodado
</t>
        </r>
      </text>
    </comment>
    <comment ref="C209" authorId="0" shapeId="0">
      <text>
        <r>
          <rPr>
            <sz val="9"/>
            <color indexed="81"/>
            <rFont val="Tahoma"/>
            <family val="2"/>
          </rPr>
          <t>Informar a quantidade de pneus novos de 1 caminhão</t>
        </r>
      </text>
    </comment>
    <comment ref="D209" authorId="0" shapeId="0">
      <text>
        <r>
          <rPr>
            <sz val="9"/>
            <color indexed="81"/>
            <rFont val="Tahoma"/>
            <family val="2"/>
          </rPr>
          <t xml:space="preserve">Informar o preço unitário de cada pneu
</t>
        </r>
      </text>
    </comment>
    <comment ref="C210" authorId="0" shapeId="0">
      <text>
        <r>
          <rPr>
            <sz val="9"/>
            <color indexed="81"/>
            <rFont val="Tahoma"/>
            <family val="2"/>
          </rPr>
          <t>Informar o número de recapagens por pneu</t>
        </r>
      </text>
    </comment>
    <comment ref="D211" authorId="0" shapeId="0">
      <text>
        <r>
          <rPr>
            <sz val="9"/>
            <color indexed="81"/>
            <rFont val="Tahoma"/>
            <family val="2"/>
          </rPr>
          <t xml:space="preserve">Informar o preço unitário de cada recapagem
</t>
        </r>
      </text>
    </comment>
    <comment ref="C212" authorId="0" shapeId="0">
      <text>
        <r>
          <rPr>
            <sz val="9"/>
            <color indexed="81"/>
            <rFont val="Tahoma"/>
            <family val="2"/>
          </rPr>
          <t xml:space="preserve">Informar a durabilidade média dos pneus considerando todas as recapagens, em km
</t>
        </r>
      </text>
    </comment>
    <comment ref="C221" authorId="0" shapeId="0">
      <text>
        <r>
          <rPr>
            <sz val="9"/>
            <color indexed="81"/>
            <rFont val="Tahoma"/>
            <family val="2"/>
          </rPr>
          <t xml:space="preserve">Informar a quantidade estimada por mês. Por exemplo, se a durabilidade estimada é de 6 meses, informar 1/6; se a durabilidade estimada é de 3 meses informar 1/3, etc..
</t>
        </r>
      </text>
    </comment>
    <comment ref="D221" authorId="0" shapeId="0">
      <text>
        <r>
          <rPr>
            <sz val="9"/>
            <color indexed="81"/>
            <rFont val="Tahoma"/>
            <family val="2"/>
          </rPr>
          <t>Informar o valor unitário estimado para aquisição de cada material</t>
        </r>
      </text>
    </comment>
    <comment ref="C222" authorId="0" shapeId="0">
      <text>
        <r>
          <rPr>
            <sz val="9"/>
            <color indexed="81"/>
            <rFont val="Tahoma"/>
            <family val="2"/>
          </rPr>
          <t xml:space="preserve">Informar a quantidade estimada por mês. Por exemplo, se a durabilidade estimada é de 6 meses, informar 1/6; se a durabilidade estimada é de 3 meses informar 1/3, etc..
</t>
        </r>
      </text>
    </comment>
    <comment ref="D222" authorId="0" shapeId="0">
      <text>
        <r>
          <rPr>
            <sz val="9"/>
            <color indexed="81"/>
            <rFont val="Tahoma"/>
            <family val="2"/>
          </rPr>
          <t>Informar o valor unitário estimado para aquisição de cada material</t>
        </r>
      </text>
    </comment>
    <comment ref="C223" authorId="0" shapeId="0">
      <text>
        <r>
          <rPr>
            <sz val="9"/>
            <color indexed="81"/>
            <rFont val="Tahoma"/>
            <family val="2"/>
          </rPr>
          <t xml:space="preserve">Informar a quantidade estimada por mês. Por exemplo, se a durabilidade estimada é de 6 meses, informar 1/6; se a durabilidade estimada é de 3 meses informar 1/3, etc..
</t>
        </r>
      </text>
    </comment>
    <comment ref="D223" authorId="0" shapeId="0">
      <text>
        <r>
          <rPr>
            <sz val="9"/>
            <color indexed="81"/>
            <rFont val="Tahoma"/>
            <family val="2"/>
          </rPr>
          <t>Informar o valor unitário estimado para aquisição de cada material</t>
        </r>
      </text>
    </comment>
    <comment ref="C224" authorId="0" shapeId="0">
      <text>
        <r>
          <rPr>
            <sz val="9"/>
            <color indexed="81"/>
            <rFont val="Tahoma"/>
            <family val="2"/>
          </rPr>
          <t xml:space="preserve">Informar a quantidade estimada por mês. Por exemplo, se a durabilidade estimada é de 6 meses, informar 1/6; se a durabilidade estimada é de 3 meses informar 1/3, etc..
</t>
        </r>
      </text>
    </comment>
    <comment ref="D224" authorId="0" shapeId="0">
      <text>
        <r>
          <rPr>
            <sz val="9"/>
            <color indexed="81"/>
            <rFont val="Tahoma"/>
            <family val="2"/>
          </rPr>
          <t>Informar o valor unitário estimado para aquisição de cada material</t>
        </r>
      </text>
    </comment>
    <comment ref="C225" authorId="0" shapeId="0">
      <text>
        <r>
          <rPr>
            <sz val="9"/>
            <color indexed="81"/>
            <rFont val="Tahoma"/>
            <family val="2"/>
          </rPr>
          <t xml:space="preserve">Informar a quantidade estimada por mês. Por exemplo, se a durabilidade estimada é de 6 meses, informar 1/6; se a durabilidade estimada é de 3 meses informar 1/3, etc..
</t>
        </r>
      </text>
    </comment>
    <comment ref="D225" authorId="0" shapeId="0">
      <text>
        <r>
          <rPr>
            <sz val="9"/>
            <color indexed="81"/>
            <rFont val="Tahoma"/>
            <family val="2"/>
          </rPr>
          <t>Informar o valor unitário estimado para aquisição de cada material</t>
        </r>
      </text>
    </comment>
    <comment ref="E226" authorId="0" shapeId="0">
      <text>
        <r>
          <rPr>
            <sz val="9"/>
            <color indexed="81"/>
            <rFont val="Tahoma"/>
            <family val="2"/>
          </rPr>
          <t>Informar o número de veículos da frota a serem empregados nos serviços de coleta no município</t>
        </r>
      </text>
    </comment>
    <comment ref="A230" authorId="0" shapeId="0">
      <text>
        <r>
          <rPr>
            <b/>
            <sz val="9"/>
            <color indexed="81"/>
            <rFont val="Tahoma"/>
            <family val="2"/>
          </rPr>
          <t>Especificar somente quando for exigido no Projeto Básico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33" authorId="0" shapeId="0">
      <text>
        <r>
          <rPr>
            <sz val="9"/>
            <color indexed="81"/>
            <rFont val="Tahoma"/>
            <family val="2"/>
          </rPr>
          <t>Informar o valor total para instalação do equipamento de monitoramento da frota, se houver previsão no Projeto Básico</t>
        </r>
      </text>
    </comment>
    <comment ref="D235" authorId="0" shapeId="0">
      <text>
        <r>
          <rPr>
            <sz val="9"/>
            <color indexed="81"/>
            <rFont val="Tahoma"/>
            <family val="2"/>
          </rPr>
          <t>Informar o valor unitário mensal para manutenção dos equipamentos de monitoramento</t>
        </r>
      </text>
    </comment>
    <comment ref="C246" authorId="0" shapeId="0">
      <text>
        <r>
          <rPr>
            <sz val="9"/>
            <color indexed="81"/>
            <rFont val="Tahoma"/>
            <family val="2"/>
          </rPr>
          <t>Preencher a aba 4.BDI</t>
        </r>
      </text>
    </comment>
  </commentList>
</comments>
</file>

<file path=xl/comments3.xml><?xml version="1.0" encoding="utf-8"?>
<comments xmlns="http://schemas.openxmlformats.org/spreadsheetml/2006/main">
  <authors>
    <author>Clauber Bridi</author>
  </authors>
  <commentList>
    <comment ref="C12" authorId="0" shapeId="0">
      <text>
        <r>
          <rPr>
            <b/>
            <sz val="9"/>
            <color indexed="81"/>
            <rFont val="Tahoma"/>
            <family val="2"/>
          </rPr>
          <t>Informar o % de Administração Central estimado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3" authorId="0" shapeId="0">
      <text>
        <r>
          <rPr>
            <b/>
            <sz val="9"/>
            <color indexed="81"/>
            <rFont val="Tahoma"/>
            <family val="2"/>
          </rPr>
          <t>Informar o % de Seguros, Riscos e Garantia estimado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4" authorId="0" shapeId="0">
      <text>
        <r>
          <rPr>
            <b/>
            <sz val="9"/>
            <color indexed="81"/>
            <rFont val="Tahoma"/>
            <family val="2"/>
          </rPr>
          <t>Informar o % de Lucro estimado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5" authorId="0" shapeId="0">
      <text>
        <r>
          <rPr>
            <b/>
            <sz val="9"/>
            <color indexed="81"/>
            <rFont val="Tahoma"/>
            <family val="2"/>
          </rPr>
          <t>Informar o valor anual da taxa financeira, em percentual. Admite-se utilizar a SELIC</t>
        </r>
      </text>
    </comment>
    <comment ref="C16" authorId="0" shapeId="0">
      <text>
        <r>
          <rPr>
            <b/>
            <sz val="9"/>
            <color indexed="81"/>
            <rFont val="Tahoma"/>
            <family val="2"/>
          </rPr>
          <t>Informar o percentual de ISS, de acordo com a legislação tributária do município onde serão prestados os serviços. De 2% até o limite de 5%.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6" authorId="0" shapeId="0">
      <text>
        <r>
          <rPr>
            <b/>
            <sz val="9"/>
            <color indexed="81"/>
            <rFont val="Tahoma"/>
            <family val="2"/>
          </rPr>
          <t>Informar a média de dias úteis entre data de pagamento prevista no contrato e a data final do período de adimplemento da parcela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7" authorId="0" shapeId="0">
      <text>
        <r>
          <rPr>
            <b/>
            <sz val="9"/>
            <color indexed="81"/>
            <rFont val="Tahoma"/>
            <family val="2"/>
          </rPr>
          <t xml:space="preserve">Informar o valor estimado de PIS/COFINS. </t>
        </r>
        <r>
          <rPr>
            <sz val="9"/>
            <color indexed="81"/>
            <rFont val="Tahoma"/>
            <family val="2"/>
          </rPr>
          <t xml:space="preserve">
1. Adotar 0,65% PIS + 3% COFINS quando o valor anual estimado do contrato for inferior ao limite para tributação pelo regime de incidência não-cumulativa (lucro presumido);
2. Adotar 1,65% PIS + 7,6% COFINS quando o valor anual estimado do contrato for superior ao limite para tributação pelo regime de incidência não-cumulativa (lucro real);</t>
        </r>
      </text>
    </comment>
  </commentList>
</comments>
</file>

<file path=xl/comments4.xml><?xml version="1.0" encoding="utf-8"?>
<comments xmlns="http://schemas.openxmlformats.org/spreadsheetml/2006/main">
  <authors>
    <author>cbridi</author>
    <author>Clauber Bridi</author>
    <author>Omar</author>
  </authors>
  <commentList>
    <comment ref="C12" authorId="0" shapeId="0">
      <text>
        <r>
          <rPr>
            <sz val="8"/>
            <color indexed="81"/>
            <rFont val="Tahoma"/>
            <family val="2"/>
          </rPr>
          <t>Informar a população do município a ser atendida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Caso o município possua informações de pesagem, ajustar com o valor da geração média per capita realizada nos últimos 12 meses</t>
        </r>
      </text>
    </comment>
    <comment ref="C14" authorId="2" shapeId="0">
      <text>
        <r>
          <rPr>
            <sz val="9"/>
            <color indexed="81"/>
            <rFont val="Tahoma"/>
            <family val="2"/>
          </rPr>
          <t>retorna a geração diária a ser recolhida</t>
        </r>
      </text>
    </comment>
    <comment ref="C16" authorId="0" shapeId="0">
      <text>
        <r>
          <rPr>
            <b/>
            <sz val="8"/>
            <color indexed="81"/>
            <rFont val="Tahoma"/>
            <family val="2"/>
          </rPr>
          <t>Informe o número de dias de coleta por semana</t>
        </r>
      </text>
    </comment>
    <comment ref="C19" authorId="0" shapeId="0">
      <text>
        <r>
          <rPr>
            <sz val="8"/>
            <color indexed="81"/>
            <rFont val="Tahoma"/>
            <family val="2"/>
          </rPr>
          <t>Informar 1 para caminhão toco; Informar 2 para caminhão truck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C20" authorId="0" shapeId="0">
      <text>
        <r>
          <rPr>
            <sz val="8"/>
            <color indexed="81"/>
            <rFont val="Tahoma"/>
            <family val="2"/>
          </rPr>
          <t>Informar a capacidade do compactador em m³</t>
        </r>
      </text>
    </comment>
    <comment ref="C23" authorId="1" shapeId="0">
      <text>
        <r>
          <rPr>
            <sz val="8"/>
            <color indexed="81"/>
            <rFont val="Tahoma"/>
            <family val="2"/>
          </rPr>
          <t xml:space="preserve">Informar o número de percursos de coleta (cargas) que cada caminhão realiza por dia, considerando todos os turnos de trabalho. </t>
        </r>
      </text>
    </comment>
  </commentList>
</comments>
</file>

<file path=xl/sharedStrings.xml><?xml version="1.0" encoding="utf-8"?>
<sst xmlns="http://schemas.openxmlformats.org/spreadsheetml/2006/main" count="709" uniqueCount="436">
  <si>
    <t>Adicional de Insalubridade</t>
  </si>
  <si>
    <t>%</t>
  </si>
  <si>
    <t>Soma</t>
  </si>
  <si>
    <t>Encargos Sociais</t>
  </si>
  <si>
    <t>Total do Efetivo</t>
  </si>
  <si>
    <t>homem</t>
  </si>
  <si>
    <t>mês</t>
  </si>
  <si>
    <t>vale</t>
  </si>
  <si>
    <t>unidade</t>
  </si>
  <si>
    <t>Colete reflexivo</t>
  </si>
  <si>
    <t>IPVA</t>
  </si>
  <si>
    <t>Seguro contra terceiros</t>
  </si>
  <si>
    <t>Impostos e seguros mensais</t>
  </si>
  <si>
    <t>km/l</t>
  </si>
  <si>
    <t>km</t>
  </si>
  <si>
    <t>l/1.000 km</t>
  </si>
  <si>
    <t>Custo mensal com óleo do motor</t>
  </si>
  <si>
    <t>Custo mensal com óleo da transmissão</t>
  </si>
  <si>
    <t>Custo mensal com óleo hidráulico</t>
  </si>
  <si>
    <t>Custo de graxa /1.000 km rodados</t>
  </si>
  <si>
    <t>kg/1.000 km</t>
  </si>
  <si>
    <t>Custo mensal com graxa</t>
  </si>
  <si>
    <t>km/jogo</t>
  </si>
  <si>
    <t>Pá de Concha</t>
  </si>
  <si>
    <t>Vassoura</t>
  </si>
  <si>
    <t>Calça</t>
  </si>
  <si>
    <t>Camiseta</t>
  </si>
  <si>
    <t>Luva de proteção</t>
  </si>
  <si>
    <t>R$</t>
  </si>
  <si>
    <t>Benefícios e despesas indiretas</t>
  </si>
  <si>
    <t>Custo mensal com manutenção</t>
  </si>
  <si>
    <t>Custo (R$/mês)</t>
  </si>
  <si>
    <t>Mão-de-obra</t>
  </si>
  <si>
    <t>Quantidade</t>
  </si>
  <si>
    <t>INSS</t>
  </si>
  <si>
    <t>FGTS</t>
  </si>
  <si>
    <t>Planilha de Composição de Custos</t>
  </si>
  <si>
    <t>Motorista</t>
  </si>
  <si>
    <t>2. Uniformes e Equipamentos de Proteção Individual</t>
  </si>
  <si>
    <t>3.1.1. Depreciação</t>
  </si>
  <si>
    <t>1. Mão-de-obra</t>
  </si>
  <si>
    <t>par</t>
  </si>
  <si>
    <t>frasco 120g</t>
  </si>
  <si>
    <t>Depreciação mensal veículos coletores</t>
  </si>
  <si>
    <t>3.1.3. Impostos e Seguros</t>
  </si>
  <si>
    <t>3.1.4. Consumos</t>
  </si>
  <si>
    <t>3.1.5. Manutenção</t>
  </si>
  <si>
    <t>3. Veículos e Equipamentos</t>
  </si>
  <si>
    <t>Custo mensal com pneus</t>
  </si>
  <si>
    <t>Veículos e Equipamentos</t>
  </si>
  <si>
    <t>Publicidade (adesivos equipamentos)</t>
  </si>
  <si>
    <t>cj</t>
  </si>
  <si>
    <t>Total de mão-de-obra (postos de trabalho)</t>
  </si>
  <si>
    <t>Publicidade (adesivos veículos)</t>
  </si>
  <si>
    <t>Custo mensal com implantação</t>
  </si>
  <si>
    <t>3.1.6. Pneus</t>
  </si>
  <si>
    <t>Protetor solar FPS 30</t>
  </si>
  <si>
    <t>Discriminação</t>
  </si>
  <si>
    <t>Unidade</t>
  </si>
  <si>
    <t>Subtotal</t>
  </si>
  <si>
    <r>
      <t xml:space="preserve">Total </t>
    </r>
    <r>
      <rPr>
        <b/>
        <u/>
        <sz val="9"/>
        <rFont val="Arial"/>
        <family val="2"/>
      </rPr>
      <t>(R$)</t>
    </r>
  </si>
  <si>
    <t>Jaqueta com reflexivo (NBR 15.292)</t>
  </si>
  <si>
    <t>Capa de chuva amarela com reflexivo</t>
  </si>
  <si>
    <t>Botina de segurança c/ palmilha aço</t>
  </si>
  <si>
    <t>Custo de recapagem</t>
  </si>
  <si>
    <t>Recipiente térmico para água (5L)</t>
  </si>
  <si>
    <t>Total por Coletor</t>
  </si>
  <si>
    <t>Coletor</t>
  </si>
  <si>
    <t>4. Ferramentas e Materiais de Consumo</t>
  </si>
  <si>
    <t>5. Monitoramento da Frota</t>
  </si>
  <si>
    <t>Administração Central</t>
  </si>
  <si>
    <t>AC</t>
  </si>
  <si>
    <t>Seguros/Riscos/Garantias</t>
  </si>
  <si>
    <t>SRG</t>
  </si>
  <si>
    <t>Lucro</t>
  </si>
  <si>
    <t>L</t>
  </si>
  <si>
    <t>Despesas Financeiras</t>
  </si>
  <si>
    <t>DF</t>
  </si>
  <si>
    <t>Tributos - ISS</t>
  </si>
  <si>
    <t>T</t>
  </si>
  <si>
    <t>Tributos - PIS/COFINS</t>
  </si>
  <si>
    <t>Fórmula para o cálculo do BDI:</t>
  </si>
  <si>
    <t>{[(1+AC+SRG) x (1+L) x (1+DF)] / (1-T)} -1</t>
  </si>
  <si>
    <t>Resultado do cálculo do BDI:</t>
  </si>
  <si>
    <t>6. Benefícios e Despesas Indiretas - BDI</t>
  </si>
  <si>
    <t>Vale Transporte</t>
  </si>
  <si>
    <t>Dias Trabalhados por mês</t>
  </si>
  <si>
    <t>dia</t>
  </si>
  <si>
    <t>Custo Mensal com Mão-de-obra (R$/mês)</t>
  </si>
  <si>
    <t>Meia de algodão com cano alto</t>
  </si>
  <si>
    <t>Quantitativos</t>
  </si>
  <si>
    <t>Vida útil do chassis</t>
  </si>
  <si>
    <t>anos</t>
  </si>
  <si>
    <t>Depreciação do chassis</t>
  </si>
  <si>
    <t>Custo de aquisição do chassis</t>
  </si>
  <si>
    <t>i = taxa de juros do mercado (sugere-se adotar a taxa SELIC)</t>
  </si>
  <si>
    <t>n = vida útil do bem em anos</t>
  </si>
  <si>
    <t>Custo do chassis</t>
  </si>
  <si>
    <t>Custo do compactador</t>
  </si>
  <si>
    <t>3.1.2. Remuneração do Capital</t>
  </si>
  <si>
    <t>Im = investimento médio</t>
  </si>
  <si>
    <t>Remuneração mensal de capital do compactador</t>
  </si>
  <si>
    <t>Investimento médio total do chassis</t>
  </si>
  <si>
    <t>Remuneração mensal de capital do chassis</t>
  </si>
  <si>
    <t>Investimento médio total do compactador</t>
  </si>
  <si>
    <t>Custo de manutenção dos caminhões</t>
  </si>
  <si>
    <t>R$/km rodado</t>
  </si>
  <si>
    <t>Número de recapagens por pneu</t>
  </si>
  <si>
    <t>R$ mensal</t>
  </si>
  <si>
    <t>Admissões</t>
  </si>
  <si>
    <t>Desligamentos</t>
  </si>
  <si>
    <t>Dispensados com justa causa</t>
  </si>
  <si>
    <t>Dispensados sem justa causa</t>
  </si>
  <si>
    <t>Espontâneos</t>
  </si>
  <si>
    <t>Fim de contrato por prazo determinado</t>
  </si>
  <si>
    <t>Término de contrato</t>
  </si>
  <si>
    <t>Aposentados</t>
  </si>
  <si>
    <t>Mortos</t>
  </si>
  <si>
    <t>Transferência de saída</t>
  </si>
  <si>
    <t xml:space="preserve"> </t>
  </si>
  <si>
    <t>Indicadores</t>
  </si>
  <si>
    <t>Dias ano</t>
  </si>
  <si>
    <t>Estoque Médio</t>
  </si>
  <si>
    <t>Multa FGTS</t>
  </si>
  <si>
    <t>Dias de Aviso prévio</t>
  </si>
  <si>
    <t>Código</t>
  </si>
  <si>
    <t>Descrição</t>
  </si>
  <si>
    <t>Valor</t>
  </si>
  <si>
    <t>A1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</si>
  <si>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</si>
  <si>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</si>
  <si>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</si>
  <si>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</si>
  <si>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</si>
  <si>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</si>
  <si>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</si>
  <si>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</si>
  <si>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</si>
  <si>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</si>
  <si>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</si>
  <si>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</si>
  <si>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</si>
  <si>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A</t>
  </si>
  <si>
    <t>SOMA GRUPO A</t>
  </si>
  <si>
    <t>B1</t>
  </si>
  <si>
    <t>Férias gozadas</t>
  </si>
  <si>
    <t>B2</t>
  </si>
  <si>
    <t>13º salário</t>
  </si>
  <si>
    <t>B4</t>
  </si>
  <si>
    <t>Licença Paternidade</t>
  </si>
  <si>
    <t>B5</t>
  </si>
  <si>
    <t>Faltas justificadas</t>
  </si>
  <si>
    <t>B6</t>
  </si>
  <si>
    <t>Auxilio acidente de trabalho</t>
  </si>
  <si>
    <t>Auxilio doença</t>
  </si>
  <si>
    <t>B</t>
  </si>
  <si>
    <t>SOMA GRUPO B</t>
  </si>
  <si>
    <t>C1</t>
  </si>
  <si>
    <t>Aviso prévio indenizado</t>
  </si>
  <si>
    <t>C3</t>
  </si>
  <si>
    <t xml:space="preserve">Férias indenizadas </t>
  </si>
  <si>
    <t>C4</t>
  </si>
  <si>
    <t>Férias indenizadas s/ aviso previo inden.</t>
  </si>
  <si>
    <t>C5</t>
  </si>
  <si>
    <t>Depósito rescisão sem justa causa</t>
  </si>
  <si>
    <t>Indenização adicional</t>
  </si>
  <si>
    <t>C</t>
  </si>
  <si>
    <t>SOMA GRUPO C</t>
  </si>
  <si>
    <t>D1</t>
  </si>
  <si>
    <t>Reincidência de Grupo A sobre Grupo B</t>
  </si>
  <si>
    <t>D2</t>
  </si>
  <si>
    <t>D</t>
  </si>
  <si>
    <t>SOMA GRUPO D</t>
  </si>
  <si>
    <t>SOMA (A+B+C+D)</t>
  </si>
  <si>
    <t>1° Quartil</t>
  </si>
  <si>
    <t>Médio</t>
  </si>
  <si>
    <t>3° Quartil</t>
  </si>
  <si>
    <t>DU</t>
  </si>
  <si>
    <t>Licenciamento e Seguro obrigatório</t>
  </si>
  <si>
    <t>Fator de utilização</t>
  </si>
  <si>
    <t>2.1. Uniformes e EPIs para Coletor</t>
  </si>
  <si>
    <t>Higienização de uniformes e EPIs</t>
  </si>
  <si>
    <t>2.2. Uniformes e EPIs para demais categorias</t>
  </si>
  <si>
    <t>Custo Mensal com Uniformes e EPIs (R$/mês)</t>
  </si>
  <si>
    <t>Descrição do Item</t>
  </si>
  <si>
    <t>Orçamento Sintético</t>
  </si>
  <si>
    <t>Orientações para preenchimento:</t>
  </si>
  <si>
    <t>2. Preencher somente células em amarelo</t>
  </si>
  <si>
    <t>Rio Grande do Sul  - Coleta de Resíduos Não-Perigosos - CNAE 38114</t>
  </si>
  <si>
    <t>Idade do veículo (ano)</t>
  </si>
  <si>
    <t>Idade do veículo</t>
  </si>
  <si>
    <t>Valor do veículo proposto (V0)</t>
  </si>
  <si>
    <t>Valor do compactador proposto (V0)</t>
  </si>
  <si>
    <t>Taxa de juros anual nominal</t>
  </si>
  <si>
    <t>Piso da categoria</t>
  </si>
  <si>
    <t>Base de cálculo da Insalubridade</t>
  </si>
  <si>
    <t>C2</t>
  </si>
  <si>
    <t>B3</t>
  </si>
  <si>
    <t xml:space="preserve">1. Coleta de Resíduos Sólidos </t>
  </si>
  <si>
    <t>Custo Mensal com Monitoramento da Frota (R$/mês)</t>
  </si>
  <si>
    <t>Implantação dos equipamentos de monitoramento</t>
  </si>
  <si>
    <t>Manutenção dos equipamentos de monitoramento</t>
  </si>
  <si>
    <t>Custo Mensal com Veículos e Equipamentos (R$/mês)</t>
  </si>
  <si>
    <t>Custo Mensal com Ferramentas e Materiais de Consumo (R$/mês)</t>
  </si>
  <si>
    <t>CUSTO TOTAL MENSAL COM DESPESAS OPERACIONAIS (R$/mês)</t>
  </si>
  <si>
    <t>PREÇO MENSAL TOTAL (R$/mês)</t>
  </si>
  <si>
    <t>3. CAGED</t>
  </si>
  <si>
    <t>4. Composição do BDI - Benefícios e Despesas Indiretas</t>
  </si>
  <si>
    <t xml:space="preserve">2. Composição dos Encargos Sociais </t>
  </si>
  <si>
    <t>5. Depreciação Referencial TCE/RS (%)</t>
  </si>
  <si>
    <r>
      <t>J</t>
    </r>
    <r>
      <rPr>
        <vertAlign val="subscript"/>
        <sz val="12"/>
        <color indexed="8"/>
        <rFont val="Arial"/>
        <family val="2"/>
      </rPr>
      <t>m</t>
    </r>
    <r>
      <rPr>
        <sz val="12"/>
        <color indexed="8"/>
        <rFont val="Arial"/>
        <family val="2"/>
      </rPr>
      <t xml:space="preserve"> = remuneração de capital mensal</t>
    </r>
  </si>
  <si>
    <r>
      <t>V</t>
    </r>
    <r>
      <rPr>
        <vertAlign val="subscript"/>
        <sz val="12"/>
        <color indexed="8"/>
        <rFont val="Arial"/>
        <family val="2"/>
      </rPr>
      <t>0</t>
    </r>
    <r>
      <rPr>
        <sz val="12"/>
        <color indexed="8"/>
        <rFont val="Arial"/>
        <family val="2"/>
      </rPr>
      <t xml:space="preserve"> = valor inicial do bem</t>
    </r>
  </si>
  <si>
    <r>
      <t>V</t>
    </r>
    <r>
      <rPr>
        <vertAlign val="subscript"/>
        <sz val="12"/>
        <color indexed="8"/>
        <rFont val="Arial"/>
        <family val="2"/>
      </rPr>
      <t>r</t>
    </r>
    <r>
      <rPr>
        <sz val="12"/>
        <color indexed="8"/>
        <rFont val="Arial"/>
        <family val="2"/>
      </rPr>
      <t xml:space="preserve"> = valor residual do bem</t>
    </r>
  </si>
  <si>
    <t>6. Remuneração de Capital</t>
  </si>
  <si>
    <t>Custo unitário</t>
  </si>
  <si>
    <t>Custo de óleo do motor /1.000 km rodados</t>
  </si>
  <si>
    <t>Custo de óleo da transmissão /1.000 km</t>
  </si>
  <si>
    <t>Custo de óleo hidráulico / 1.000 km</t>
  </si>
  <si>
    <t>PREÇO TOTAL MENSAL COM A COLETA</t>
  </si>
  <si>
    <t>CUSTO MENSAL COM BDI (R$/mês)</t>
  </si>
  <si>
    <t>CÁLCULO DAS VERBAS INDENIZATÓRIAS DOS EMPREGADOS NO SETOR DE COLETA DE RSU</t>
  </si>
  <si>
    <t>1/3 de férias (dias)</t>
  </si>
  <si>
    <t>Férias (dias)</t>
  </si>
  <si>
    <t>13º Salário (dias)</t>
  </si>
  <si>
    <t>Referência estudo TCE</t>
  </si>
  <si>
    <t>1. Preencha previamente os dados de entrada na planilha 3.CAGED</t>
  </si>
  <si>
    <t>Rotatividade temporal (meses)</t>
  </si>
  <si>
    <t>1. Esta planilha é somente um modelo-base e deve ser ajustada conforme cada caso concreto.</t>
  </si>
  <si>
    <t>Fórmula de cálculo da remuneração de capital:</t>
  </si>
  <si>
    <t>Total por Motorista</t>
  </si>
  <si>
    <t>Durabilidade (meses)</t>
  </si>
  <si>
    <t>Custo com consumos/km rodado</t>
  </si>
  <si>
    <t>Consumo</t>
  </si>
  <si>
    <t>Total por veículo</t>
  </si>
  <si>
    <t>Total da frota</t>
  </si>
  <si>
    <t>1. Esta planilha é somente um modelo de cálculo expedito e deve ser ajustada conforme cada caso concreto.</t>
  </si>
  <si>
    <t>Unid</t>
  </si>
  <si>
    <t>hab</t>
  </si>
  <si>
    <t>ton</t>
  </si>
  <si>
    <t>Densidade RSU compactado</t>
  </si>
  <si>
    <t>Kg/m³</t>
  </si>
  <si>
    <t>m³</t>
  </si>
  <si>
    <t>Kg/hab.dia</t>
  </si>
  <si>
    <t>ton/dia</t>
  </si>
  <si>
    <t>População (H)</t>
  </si>
  <si>
    <t>Geração per capita (G)</t>
  </si>
  <si>
    <t>Geração total diária (Qd)</t>
  </si>
  <si>
    <t>Quantitativo diário de coleta (Qc)</t>
  </si>
  <si>
    <t>Número de dias de coleta por semana (Dc)</t>
  </si>
  <si>
    <t>Capacidade nominal de carga (Cc)</t>
  </si>
  <si>
    <t>Número de Cargas por dia (Nc)</t>
  </si>
  <si>
    <t>Número de veículos da Frota (F)</t>
  </si>
  <si>
    <t>Geração Mensal</t>
  </si>
  <si>
    <t>Tipo de Veículo (1 = toco, 2 = truck)</t>
  </si>
  <si>
    <t>Capacidade do Compactador</t>
  </si>
  <si>
    <t>Indicador</t>
  </si>
  <si>
    <t>Número total de percursos de coleta por veículo, por dia (Np)</t>
  </si>
  <si>
    <t>i</t>
  </si>
  <si>
    <t>3. Preencher somente células em amarelo</t>
  </si>
  <si>
    <t>Depreciação Média</t>
  </si>
  <si>
    <t>2. Dimensionar separadamente setores atendidos por veículos de capacidade de carga diferentes.</t>
  </si>
  <si>
    <t>Reincidência de FGTS sobre aviso prévio indenizado</t>
  </si>
  <si>
    <t>O orçamento deve ser realizado por responsável técnico habilitado e é de responsabilidade do seu autor.</t>
  </si>
  <si>
    <t>Piso da categoria (2)</t>
  </si>
  <si>
    <t>Salário mínimo nacional (1)</t>
  </si>
  <si>
    <t>O TCE/RS não se responsabiliza pelo uso incorreto desta planilha.</t>
  </si>
  <si>
    <t>% Demitidos s/ Justa Causa em relação ao Estoque Médio</t>
  </si>
  <si>
    <t>Taxa de Rotatividade</t>
  </si>
  <si>
    <t>Acordo</t>
  </si>
  <si>
    <t>Variação Emprego Absoluta de 01-01-2019 a 31-12-2019</t>
  </si>
  <si>
    <t>Estoque recuperado início do Período 01-01-2019</t>
  </si>
  <si>
    <t>Estoque recuperado final do Período 31-12-2019</t>
  </si>
  <si>
    <t>Preencha as células em amarelo</t>
  </si>
  <si>
    <t>Tendo em vista que o CAGED foi descontinuado em janeiro de 2020, esta planilha foi atualizada até 31/12/2019.</t>
  </si>
  <si>
    <t>Ajustado, de acordo com a nova Lei Federal nº 13.932/2019</t>
  </si>
  <si>
    <t>7. Dimensionamento da frota = CAÇAMBA</t>
  </si>
  <si>
    <t>Segunda</t>
  </si>
  <si>
    <t>Terça</t>
  </si>
  <si>
    <t>Quarta</t>
  </si>
  <si>
    <t>Quinta</t>
  </si>
  <si>
    <t>Sexta</t>
  </si>
  <si>
    <t>Sábado</t>
  </si>
  <si>
    <t>Domingo</t>
  </si>
  <si>
    <t>–</t>
  </si>
  <si>
    <t>Distância Coleta (Km)</t>
  </si>
  <si>
    <t>Velocidade Coleta (Km/h)</t>
  </si>
  <si>
    <t>Tempo  Coleta (horas)</t>
  </si>
  <si>
    <t>Distância Viagem (Km)</t>
  </si>
  <si>
    <t>Velocidade Viagem (Km/h)</t>
  </si>
  <si>
    <t>Tempo Viagem (horas)</t>
  </si>
  <si>
    <t>Tempo descarga (h)</t>
  </si>
  <si>
    <t>Tempo
Total (horas)</t>
  </si>
  <si>
    <t>Totais / DIA</t>
  </si>
  <si>
    <t>Tempo descarga</t>
  </si>
  <si>
    <t>Totais/Semana</t>
  </si>
  <si>
    <t>Distância Total Média percorrida no Mês:</t>
  </si>
  <si>
    <t>Destino final</t>
  </si>
  <si>
    <t>Distância Ida e Volta (Km)</t>
  </si>
  <si>
    <t>Nº de dias de coleta / semana - Orgânicos</t>
  </si>
  <si>
    <t>Nº de dias de coleta / semana - TOTAL</t>
  </si>
  <si>
    <t>VALOR</t>
  </si>
  <si>
    <t>Serviço para CÁLCULO do FU</t>
  </si>
  <si>
    <t>Dias por semana</t>
  </si>
  <si>
    <t>Horas 
por dia</t>
  </si>
  <si>
    <t>Horas
por mês</t>
  </si>
  <si>
    <t>Horas por semana</t>
  </si>
  <si>
    <t>(=) Fator Utilização (FU)</t>
  </si>
  <si>
    <t>Dias trabalh. Por mês</t>
  </si>
  <si>
    <t>Roteiro 1 (Urbano)</t>
  </si>
  <si>
    <t>– Distância Viagem, considerando a soma do deslocamento desde o aterro sanitário do CONIGEPU em Trindade do Sul até o início do roteiro de</t>
  </si>
  <si>
    <t>coleta para iniciar as coletas e da distância desde o ponto do fim do roteiro de coleta de volta ao aterro sanitário para descarga dos resíduos.</t>
  </si>
  <si>
    <t>– Tempo de descarga foi considerado de 20 minutos.</t>
  </si>
  <si>
    <t>Nº SEMANAS POR MÊS</t>
  </si>
  <si>
    <t>ITEM</t>
  </si>
  <si>
    <t>Dias / ano</t>
  </si>
  <si>
    <t>Dias / semana</t>
  </si>
  <si>
    <t>Semanas / ano</t>
  </si>
  <si>
    <t>Semanas / mês</t>
  </si>
  <si>
    <t>Calculo deslocamento até o inicio das coletas e para o transporte ao destino final</t>
  </si>
  <si>
    <t>Conigepu =&gt; Ponto de início do roteiro de coleta</t>
  </si>
  <si>
    <t>Ponto de fim do roteiro de coleta =&gt; Conigepu</t>
  </si>
  <si>
    <t>Distância total de deslocamento por dia de coleta</t>
  </si>
  <si>
    <t>– Como deslocamento considera-se o trajeto desde o aterro sanitário do Consórcio Conigepu até o ponto de início das coletas em Rondinha/RS</t>
  </si>
  <si>
    <t>– Assim como o deslocamento relativo ao trajeto do transporte dos resíduos desde o ponto de fim do roteiro de coleta até o aterro do Conigepu</t>
  </si>
  <si>
    <t>Nº de dias de coleta por semana</t>
  </si>
  <si>
    <t>Resumo dos dias de coleta e tipo de coleta seletiva por dia</t>
  </si>
  <si>
    <t>CAMINHÃO TOCO</t>
  </si>
  <si>
    <t>Modelo</t>
  </si>
  <si>
    <t>Marca</t>
  </si>
  <si>
    <t>Ano Modelo</t>
  </si>
  <si>
    <t>Preço Médio</t>
  </si>
  <si>
    <t>Iveco</t>
  </si>
  <si>
    <t>Zero Km</t>
  </si>
  <si>
    <t>Volkswagen</t>
  </si>
  <si>
    <t>Volvo</t>
  </si>
  <si>
    <t>Atego 1719 4x2 2p (diesel)(E6)</t>
  </si>
  <si>
    <t>Mercedes Benz</t>
  </si>
  <si>
    <t>Valor Médio</t>
  </si>
  <si>
    <t>CAMINHÃO TRUCK</t>
  </si>
  <si>
    <t>Cálculo da distância total percorrida e cálculo do tempo de coleta e tempo de viagem/deslocamento</t>
  </si>
  <si>
    <t xml:space="preserve"> Tabela FIPE - Mês Referência 05/2023</t>
  </si>
  <si>
    <t>Tabela de Cálculo do Custo de Aquisição Médio de Caminhões</t>
  </si>
  <si>
    <t>1.1. Coletor de Resíduos Sólidos</t>
  </si>
  <si>
    <t>1.2. Motorista de Caminhão</t>
  </si>
  <si>
    <t>1.3. Vale Transporte</t>
  </si>
  <si>
    <t>1.4. Vale-refeição (diário)</t>
  </si>
  <si>
    <t>1.5. Auxílio Alimentação (mensal)</t>
  </si>
  <si>
    <t>Cálculo do Fator de Utilização (FU) da Mão de Obra e Frota</t>
  </si>
  <si>
    <t>Total FU da Mão de Obra da Coleta de Resíduos</t>
  </si>
  <si>
    <t>Fator de utilização da mão de obra (FU)</t>
  </si>
  <si>
    <t>Chapéu com proteção de pescoço</t>
  </si>
  <si>
    <t>Custo do jogo de pneus - Dimensões 275/80 R22.5</t>
  </si>
  <si>
    <r>
      <t xml:space="preserve">Custo jg. compl. + </t>
    </r>
    <r>
      <rPr>
        <sz val="10"/>
        <color indexed="10"/>
        <rFont val="Arial"/>
        <family val="2"/>
      </rPr>
      <t>01</t>
    </r>
    <r>
      <rPr>
        <sz val="10"/>
        <rFont val="Arial"/>
        <family val="2"/>
      </rPr>
      <t xml:space="preserve"> recap./ km rodado</t>
    </r>
  </si>
  <si>
    <t>DMT Organicos / mês:</t>
  </si>
  <si>
    <t>DMT Mensal</t>
  </si>
  <si>
    <t>Quilometragem mensal com deslocamento/transporte</t>
  </si>
  <si>
    <t>Quilometragem mensal com roteiros de coleta</t>
  </si>
  <si>
    <t>– Distância do roteiro de 25,7 km conforme roteiro de coleta definido no projeto básico.</t>
  </si>
  <si>
    <t>Custo óleo diesel / km rodado (Desloc./Transporte)</t>
  </si>
  <si>
    <t>Custo mensal c/óleo diesel (desloc./transporte)</t>
  </si>
  <si>
    <t>Custo mensal c/óleo diesel (roteiro da coleta)</t>
  </si>
  <si>
    <t>1. Preencher somente as células em amarelo</t>
  </si>
  <si>
    <t>3. As fontes dos dados e informações utilizados nesta planilha poderão ser encontradas no Projeto Básico para Contratação da Coleta de Resíduos Sólidos do qual faz parte a presente planilha, que inclui informações a respeito do cálculo dos fatores de utilização da mão de obra e frota, da quilometragem mensal de roteiros de coleta e deslocamentos, do custo médio de aquisição dos veículos da frota e dos valores médios unitários adotados para insumos, materiais, equipamentos, entre outros dados e informações. Assim sendo, para o bom entendimento desta planilha o Projeto Básico deverá ser consultado.</t>
  </si>
  <si>
    <t>Orgânicos</t>
  </si>
  <si>
    <t>Secos</t>
  </si>
  <si>
    <t>Nº de dias de coleta / semana - Secos</t>
  </si>
  <si>
    <t>DMT secos / mês:</t>
  </si>
  <si>
    <t>Frota:</t>
  </si>
  <si>
    <t>Total FU da Frota da Coleta de RSD</t>
  </si>
  <si>
    <t>Fator de utilização da frota (FU)</t>
  </si>
  <si>
    <t>3.1. Caminhão Toco Caçamba 32 m³</t>
  </si>
  <si>
    <t>Custo de aquisição do caçamba</t>
  </si>
  <si>
    <t>Vida útil do caçamba</t>
  </si>
  <si>
    <t>Idade do caçamba</t>
  </si>
  <si>
    <t>Depreciação do caçamba</t>
  </si>
  <si>
    <t>Depreciação mensal do caçamba</t>
  </si>
  <si>
    <t>Distância Média Total Mensal</t>
  </si>
  <si>
    <t>DMT por dia de coleta</t>
  </si>
  <si>
    <t>– FU calculado com base em uma carga horária de 44 horas por semana.</t>
  </si>
  <si>
    <t>– FU da mão de obra da coleta de resíduos é a mesma da utilização da frota.</t>
  </si>
  <si>
    <t>Roteiro 1 - Área urbana</t>
  </si>
  <si>
    <t>Roteiro 2 - Área rural - Mensal</t>
  </si>
  <si>
    <t>Roteiro 3 - Área rural - Semanal</t>
  </si>
  <si>
    <t>Roteiro 2 - Mensal (Rural) - Coleta de RSD</t>
  </si>
  <si>
    <t>Roteiro 3 - Semanal (Rural) - Coleta de RSD</t>
  </si>
  <si>
    <t>Roteiro 1 - Urbano - Diário</t>
  </si>
  <si>
    <t>Roteiro 3 - Rural - Semanal</t>
  </si>
  <si>
    <t>Roteiro 2-1 - Rural - Mensal</t>
  </si>
  <si>
    <t>Roteiro 2-2 - Rural - Mensal</t>
  </si>
  <si>
    <t>Resíduos secos – na 2ª terça-feira de cada mês</t>
  </si>
  <si>
    <t>Resíduos secos – na 3ª terça-feira de cada mês</t>
  </si>
  <si>
    <t>Resíduos secos – todas as terças-feiras, exceto a 2ª e 3ª terças-feiras de cada mês</t>
  </si>
  <si>
    <t>Roteiro 2.1 (2ª terça de cada mês)</t>
  </si>
  <si>
    <t>Roteiro 2.2 (3ª terça de cada mês)</t>
  </si>
  <si>
    <t xml:space="preserve">– As coletas mensais do interior serão feitas em dois roteiros distintos conforme distância de coletas da tabela acima, sendo um dos roteiros realizado na 2ª terça-feira de </t>
  </si>
  <si>
    <t xml:space="preserve">de cada mês e o outro roteiro na 3ª terça-feira de cada mês. </t>
  </si>
  <si>
    <t>– As coletas mensais do interior terão início imediatamente após a realização do roteiro de coleta na área urbana no dia respectivo designado para sua execução.</t>
  </si>
  <si>
    <t>– Sendo assim, a distância de coleta (km) acima se refere à distância percorrida para as coletas partindo exatamente do ponto onde finaliza o roteiro de coleta da área urbana.</t>
  </si>
  <si>
    <t>– A distância de viagem e tempo de descarga se referem à distância de viagem de ida e volta até o aterro sanitário de destino assim como o tempo de descarga do caminhão no</t>
  </si>
  <si>
    <t>destino final, respectivamente. Os valores estão zerados pois estão considerados no roteiro urbano na tabela anterior tendo em vista que estas coletas são feitas logo após a</t>
  </si>
  <si>
    <t>realização da coleta na área urbana e o caminhão seguirá para o destino final imediatamente após a conclusão das coletas no interior.</t>
  </si>
  <si>
    <t>– Observar que as coletas semanais que se configuram no Roteiro 3 abaixo, serão realizadas em conjunto com as coletas mensais nas semanas que ambas coincidem, ou seja,</t>
  </si>
  <si>
    <t>as localidades atendidas pelo Roteiro 3 (semanal) serão atendidas nas 2ª e 3ª semanas em conjunto com o roteiro mensal de que trata estas tabelas, cuja km já está considerada.</t>
  </si>
  <si>
    <t>estas localidades serão atendidas em conjunto com as localidades incluídas nos roteiros mensais (Roteiros 2.1 e 2.2)</t>
  </si>
  <si>
    <t>Roteiro 3 (todas as terça-feiras*)</t>
  </si>
  <si>
    <t>*O roteiro 3 atende localidades específicas do interior do município e serão realizadas semanalmente, sempre às terças-feiras, exceto na 2ª e 3ª terça-feira de cada mês, quando</t>
  </si>
  <si>
    <t>– As coletas semanais do interior terão início imediatamente após a realização do roteiro de coleta na área urbana no dia respectivo designado para sua execução.</t>
  </si>
  <si>
    <t>Cod. FIPE</t>
  </si>
  <si>
    <t>TECTOR 17-280 4x2 (diesel)(E6)</t>
  </si>
  <si>
    <t>506179-2</t>
  </si>
  <si>
    <t>17-210 Constellation 4x2 2p (diesel)(E6)</t>
  </si>
  <si>
    <t>515188-0</t>
  </si>
  <si>
    <t>VM 290 4x2 2p (diesel) (E6)</t>
  </si>
  <si>
    <t>516254-8</t>
  </si>
  <si>
    <t>509338-4</t>
  </si>
  <si>
    <t>TECTOR 24-280 6x2 (diesel)(E6)</t>
  </si>
  <si>
    <t>506180-6</t>
  </si>
  <si>
    <t>Atego 2433 6x2 2p (diesel)(E6)</t>
  </si>
  <si>
    <t>509341-4</t>
  </si>
  <si>
    <t>VM 360 6x2 2p (diesel)(E6)</t>
  </si>
  <si>
    <t>516257-2</t>
  </si>
  <si>
    <t>26-260 Constellation 6x2 2p (diesel)(E6)</t>
  </si>
  <si>
    <t>515193-7</t>
  </si>
  <si>
    <t>Total do mês</t>
  </si>
  <si>
    <t>Roteiro 1 - Diário (Urbano) - Coleta de RSD</t>
  </si>
  <si>
    <t>Horas Extras (100%)</t>
  </si>
  <si>
    <t>Horas Extras (50%)</t>
  </si>
  <si>
    <t>Descanso Semanal Remunerado (DSR) - hora extra</t>
  </si>
  <si>
    <t>hora/mês</t>
  </si>
  <si>
    <t>Distância Total (Km)</t>
  </si>
  <si>
    <t>TABELAS DIVERSAS</t>
  </si>
  <si>
    <t>Não há a necessidade de fazer alterações nestas tabelas.</t>
  </si>
  <si>
    <t>Estas tabelas são auxiliares para os cálculos contidos na aba '1. Coleta Domiciliar' e se referem a dados e definições estabelecidas no Projeto Básico da Coleta de RSD.</t>
  </si>
  <si>
    <r>
      <t xml:space="preserve">2. As </t>
    </r>
    <r>
      <rPr>
        <i/>
        <sz val="12"/>
        <color rgb="FF0070C0"/>
        <rFont val="Arial"/>
        <family val="2"/>
      </rPr>
      <t>células azuis</t>
    </r>
    <r>
      <rPr>
        <i/>
        <sz val="12"/>
        <rFont val="Arial"/>
        <family val="2"/>
      </rPr>
      <t xml:space="preserve"> deverão ter seus valores preenchidos em outra planilha do arquivo, em especial o BDI.</t>
    </r>
  </si>
  <si>
    <t>Custo óleo diesel / km rodado (Roteiro da coleta)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</si>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</sst>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.000_);_(* \(#,##0.000\);_(* &quot;-&quot;??_);_(@_)"/>
    <numFmt numFmtId="167" formatCode="0.0000"/>
    <numFmt numFmtId="168" formatCode="_-* #,##0.000_-;\-* #,##0.000_-;_-* &quot;-&quot;??_-;_-@_-"/>
    <numFmt numFmtId="169" formatCode="_-* #,##0.00_-;\-* #,##0.00_-;_-* &quot;-&quot;?_-;_-@_-"/>
    <numFmt numFmtId="170" formatCode="_-* #,##0_-;\-* #,##0_-;_-* &quot;-&quot;?_-;_-@_-"/>
    <numFmt numFmtId="171" formatCode="0.0"/>
    <numFmt numFmtId="172" formatCode="_(* #,##0.0000_);_(* \(#,##0.0000\);_(* &quot;-&quot;??_);_(@_)"/>
    <numFmt numFmtId="173" formatCode="0.0%"/>
  </numFmts>
  <fonts count="4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2"/>
      <color theme="1"/>
      <name val="Arial"/>
      <family val="2"/>
    </font>
    <font>
      <vertAlign val="subscript"/>
      <sz val="12"/>
      <color indexed="8"/>
      <name val="Arial"/>
      <family val="2"/>
    </font>
    <font>
      <sz val="12"/>
      <color indexed="8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13"/>
      <color theme="1"/>
      <name val="Arial"/>
      <family val="2"/>
    </font>
    <font>
      <sz val="10"/>
      <color theme="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0"/>
      <color rgb="FFFF0000"/>
      <name val="Arial"/>
      <family val="2"/>
    </font>
    <font>
      <sz val="12"/>
      <name val="Arial"/>
      <family val="2"/>
    </font>
    <font>
      <b/>
      <sz val="12"/>
      <color rgb="FFFF0000"/>
      <name val="Arial"/>
      <family val="2"/>
    </font>
    <font>
      <b/>
      <sz val="12"/>
      <color theme="1"/>
      <name val="Arial"/>
      <family val="2"/>
    </font>
    <font>
      <i/>
      <sz val="12"/>
      <name val="Arial"/>
      <family val="2"/>
    </font>
    <font>
      <i/>
      <sz val="12"/>
      <color theme="1"/>
      <name val="Arial"/>
      <family val="2"/>
    </font>
    <font>
      <sz val="10"/>
      <name val="Arial"/>
      <family val="2"/>
    </font>
    <font>
      <u/>
      <sz val="12"/>
      <color theme="1"/>
      <name val="Arial"/>
      <family val="2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sz val="10"/>
      <color indexed="81"/>
      <name val="Segoe UI"/>
      <family val="2"/>
    </font>
    <font>
      <b/>
      <sz val="10"/>
      <color indexed="81"/>
      <name val="Segoe UI"/>
      <family val="2"/>
    </font>
    <font>
      <b/>
      <u/>
      <sz val="10"/>
      <color indexed="81"/>
      <name val="Segoe UI"/>
      <family val="2"/>
    </font>
    <font>
      <i/>
      <sz val="10"/>
      <color indexed="81"/>
      <name val="Segoe UI"/>
      <family val="2"/>
    </font>
    <font>
      <b/>
      <sz val="16"/>
      <color theme="1"/>
      <name val="Arial"/>
      <family val="2"/>
    </font>
    <font>
      <i/>
      <sz val="12"/>
      <color rgb="FFFF0000"/>
      <name val="Arial"/>
      <family val="2"/>
    </font>
    <font>
      <i/>
      <sz val="12"/>
      <color rgb="FF0070C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lightUp">
        <bgColor theme="0" tint="-0.34998626667073579"/>
      </patternFill>
    </fill>
    <fill>
      <patternFill patternType="solid">
        <fgColor theme="1" tint="0.499984740745262"/>
        <bgColor indexed="64"/>
      </patternFill>
    </fill>
    <fill>
      <patternFill patternType="lightUp">
        <bgColor theme="0" tint="-0.14999847407452621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2" fillId="0" borderId="0"/>
    <xf numFmtId="44" fontId="2" fillId="0" borderId="0" applyFont="0" applyFill="0" applyBorder="0" applyAlignment="0" applyProtection="0"/>
    <xf numFmtId="44" fontId="37" fillId="0" borderId="0" applyFont="0" applyFill="0" applyBorder="0" applyAlignment="0" applyProtection="0"/>
  </cellStyleXfs>
  <cellXfs count="539">
    <xf numFmtId="0" fontId="0" fillId="0" borderId="0" xfId="0"/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164" fontId="0" fillId="0" borderId="0" xfId="3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4" fontId="7" fillId="0" borderId="0" xfId="3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164" fontId="7" fillId="0" borderId="2" xfId="3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164" fontId="7" fillId="0" borderId="1" xfId="3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7" fillId="0" borderId="0" xfId="3" applyFont="1" applyAlignment="1">
      <alignment horizontal="center" vertical="center"/>
    </xf>
    <xf numFmtId="164" fontId="4" fillId="2" borderId="4" xfId="3" applyFont="1" applyFill="1" applyBorder="1" applyAlignment="1">
      <alignment horizontal="center" vertical="center"/>
    </xf>
    <xf numFmtId="164" fontId="4" fillId="2" borderId="4" xfId="3" applyFont="1" applyFill="1" applyBorder="1" applyAlignment="1">
      <alignment vertical="center"/>
    </xf>
    <xf numFmtId="164" fontId="4" fillId="0" borderId="0" xfId="3" applyFont="1" applyFill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164" fontId="4" fillId="0" borderId="6" xfId="3" applyFont="1" applyBorder="1" applyAlignment="1">
      <alignment vertical="center"/>
    </xf>
    <xf numFmtId="164" fontId="4" fillId="0" borderId="7" xfId="3" applyFont="1" applyBorder="1" applyAlignment="1">
      <alignment vertical="center"/>
    </xf>
    <xf numFmtId="0" fontId="7" fillId="0" borderId="6" xfId="0" applyFont="1" applyBorder="1" applyAlignment="1">
      <alignment vertical="center"/>
    </xf>
    <xf numFmtId="164" fontId="7" fillId="0" borderId="6" xfId="3" applyFont="1" applyBorder="1" applyAlignment="1">
      <alignment vertical="center"/>
    </xf>
    <xf numFmtId="164" fontId="7" fillId="0" borderId="7" xfId="3" applyFont="1" applyBorder="1" applyAlignment="1">
      <alignment vertical="center"/>
    </xf>
    <xf numFmtId="164" fontId="4" fillId="0" borderId="0" xfId="3" applyFont="1" applyBorder="1" applyAlignment="1">
      <alignment horizontal="center" vertical="center"/>
    </xf>
    <xf numFmtId="3" fontId="7" fillId="0" borderId="0" xfId="0" applyNumberFormat="1" applyFont="1" applyAlignment="1">
      <alignment vertical="center"/>
    </xf>
    <xf numFmtId="164" fontId="4" fillId="0" borderId="0" xfId="3" applyFont="1" applyFill="1" applyBorder="1" applyAlignment="1">
      <alignment horizontal="center" vertical="center"/>
    </xf>
    <xf numFmtId="164" fontId="4" fillId="0" borderId="0" xfId="3" applyFont="1" applyBorder="1" applyAlignment="1">
      <alignment vertical="center"/>
    </xf>
    <xf numFmtId="164" fontId="6" fillId="0" borderId="0" xfId="3" applyFont="1" applyAlignment="1">
      <alignment vertical="center"/>
    </xf>
    <xf numFmtId="164" fontId="7" fillId="0" borderId="0" xfId="3" applyFont="1"/>
    <xf numFmtId="164" fontId="5" fillId="0" borderId="0" xfId="3" applyFont="1" applyAlignment="1">
      <alignment vertical="center"/>
    </xf>
    <xf numFmtId="164" fontId="0" fillId="0" borderId="11" xfId="3" applyFont="1" applyBorder="1" applyAlignment="1">
      <alignment vertical="center"/>
    </xf>
    <xf numFmtId="164" fontId="4" fillId="0" borderId="12" xfId="3" applyFont="1" applyBorder="1" applyAlignment="1">
      <alignment horizontal="center" vertical="center"/>
    </xf>
    <xf numFmtId="164" fontId="4" fillId="0" borderId="5" xfId="3" applyFont="1" applyBorder="1" applyAlignment="1">
      <alignment horizontal="left" vertical="center"/>
    </xf>
    <xf numFmtId="4" fontId="4" fillId="0" borderId="6" xfId="0" applyNumberFormat="1" applyFont="1" applyBorder="1" applyAlignment="1">
      <alignment horizontal="centerContinuous" vertical="center"/>
    </xf>
    <xf numFmtId="164" fontId="4" fillId="0" borderId="0" xfId="3" applyFont="1" applyAlignment="1">
      <alignment vertical="center"/>
    </xf>
    <xf numFmtId="164" fontId="0" fillId="0" borderId="9" xfId="0" applyNumberFormat="1" applyBorder="1" applyAlignment="1">
      <alignment vertical="center"/>
    </xf>
    <xf numFmtId="4" fontId="0" fillId="0" borderId="9" xfId="0" applyNumberFormat="1" applyBorder="1" applyAlignment="1">
      <alignment horizontal="centerContinuous" vertical="center"/>
    </xf>
    <xf numFmtId="164" fontId="0" fillId="0" borderId="9" xfId="3" applyFont="1" applyBorder="1" applyAlignment="1">
      <alignment vertical="center"/>
    </xf>
    <xf numFmtId="164" fontId="7" fillId="0" borderId="1" xfId="3" applyFont="1" applyBorder="1" applyAlignment="1">
      <alignment vertical="center"/>
    </xf>
    <xf numFmtId="0" fontId="12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/>
    </xf>
    <xf numFmtId="164" fontId="7" fillId="0" borderId="0" xfId="3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164" fontId="5" fillId="0" borderId="0" xfId="3" applyFont="1" applyBorder="1" applyAlignment="1">
      <alignment vertical="center"/>
    </xf>
    <xf numFmtId="164" fontId="7" fillId="0" borderId="0" xfId="3" applyFont="1" applyBorder="1" applyAlignment="1">
      <alignment vertical="center"/>
    </xf>
    <xf numFmtId="0" fontId="14" fillId="2" borderId="16" xfId="0" applyFont="1" applyFill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/>
    </xf>
    <xf numFmtId="164" fontId="14" fillId="2" borderId="17" xfId="3" applyFont="1" applyFill="1" applyBorder="1" applyAlignment="1">
      <alignment horizontal="center" vertical="center"/>
    </xf>
    <xf numFmtId="164" fontId="14" fillId="2" borderId="18" xfId="3" applyFont="1" applyFill="1" applyBorder="1" applyAlignment="1">
      <alignment horizontal="center" vertical="center"/>
    </xf>
    <xf numFmtId="164" fontId="4" fillId="0" borderId="19" xfId="3" applyFont="1" applyBorder="1" applyAlignment="1">
      <alignment horizontal="center" vertical="center"/>
    </xf>
    <xf numFmtId="164" fontId="2" fillId="0" borderId="14" xfId="3" applyFont="1" applyBorder="1" applyAlignment="1">
      <alignment horizontal="left" vertical="center"/>
    </xf>
    <xf numFmtId="164" fontId="7" fillId="0" borderId="9" xfId="3" applyFont="1" applyBorder="1" applyAlignment="1">
      <alignment vertical="center"/>
    </xf>
    <xf numFmtId="165" fontId="7" fillId="0" borderId="0" xfId="3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" fontId="7" fillId="0" borderId="20" xfId="3" applyNumberFormat="1" applyFont="1" applyBorder="1" applyAlignment="1">
      <alignment horizontal="center" vertical="center"/>
    </xf>
    <xf numFmtId="164" fontId="4" fillId="0" borderId="28" xfId="3" applyFont="1" applyBorder="1" applyAlignment="1">
      <alignment vertical="center"/>
    </xf>
    <xf numFmtId="4" fontId="4" fillId="0" borderId="29" xfId="0" applyNumberFormat="1" applyFont="1" applyBorder="1" applyAlignment="1">
      <alignment vertical="center"/>
    </xf>
    <xf numFmtId="164" fontId="7" fillId="0" borderId="11" xfId="3" applyFont="1" applyBorder="1" applyAlignment="1">
      <alignment vertical="center"/>
    </xf>
    <xf numFmtId="0" fontId="0" fillId="0" borderId="11" xfId="0" applyBorder="1" applyAlignment="1">
      <alignment vertical="center"/>
    </xf>
    <xf numFmtId="1" fontId="7" fillId="0" borderId="12" xfId="3" applyNumberFormat="1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29" xfId="0" applyBorder="1" applyAlignment="1">
      <alignment vertical="center"/>
    </xf>
    <xf numFmtId="1" fontId="4" fillId="0" borderId="31" xfId="3" applyNumberFormat="1" applyFont="1" applyBorder="1" applyAlignment="1">
      <alignment horizontal="center" vertical="center"/>
    </xf>
    <xf numFmtId="164" fontId="7" fillId="0" borderId="1" xfId="3" applyFont="1" applyFill="1" applyBorder="1" applyAlignment="1">
      <alignment horizontal="center" vertical="center"/>
    </xf>
    <xf numFmtId="164" fontId="12" fillId="0" borderId="0" xfId="3" applyFont="1" applyAlignment="1">
      <alignment vertical="center"/>
    </xf>
    <xf numFmtId="43" fontId="7" fillId="0" borderId="0" xfId="0" applyNumberFormat="1" applyFont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164" fontId="7" fillId="3" borderId="2" xfId="3" applyFont="1" applyFill="1" applyBorder="1" applyAlignment="1">
      <alignment horizontal="center" vertical="center"/>
    </xf>
    <xf numFmtId="164" fontId="7" fillId="3" borderId="1" xfId="3" applyFont="1" applyFill="1" applyBorder="1" applyAlignment="1">
      <alignment horizontal="center" vertical="center"/>
    </xf>
    <xf numFmtId="1" fontId="7" fillId="3" borderId="1" xfId="0" applyNumberFormat="1" applyFont="1" applyFill="1" applyBorder="1" applyAlignment="1">
      <alignment horizontal="center" vertical="center"/>
    </xf>
    <xf numFmtId="164" fontId="7" fillId="3" borderId="0" xfId="3" applyFont="1" applyFill="1" applyAlignment="1">
      <alignment vertical="center"/>
    </xf>
    <xf numFmtId="0" fontId="7" fillId="0" borderId="0" xfId="0" applyFont="1" applyAlignment="1">
      <alignment horizontal="right" vertical="center"/>
    </xf>
    <xf numFmtId="165" fontId="7" fillId="0" borderId="1" xfId="3" applyNumberFormat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/>
    </xf>
    <xf numFmtId="166" fontId="7" fillId="3" borderId="2" xfId="3" applyNumberFormat="1" applyFont="1" applyFill="1" applyBorder="1" applyAlignment="1">
      <alignment horizontal="center" vertical="center"/>
    </xf>
    <xf numFmtId="3" fontId="7" fillId="3" borderId="1" xfId="0" applyNumberFormat="1" applyFont="1" applyFill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center" vertical="center"/>
    </xf>
    <xf numFmtId="165" fontId="7" fillId="0" borderId="1" xfId="3" applyNumberFormat="1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64" fontId="4" fillId="0" borderId="1" xfId="3" applyFont="1" applyBorder="1" applyAlignment="1">
      <alignment horizontal="center" vertical="center"/>
    </xf>
    <xf numFmtId="164" fontId="7" fillId="0" borderId="2" xfId="3" applyFont="1" applyFill="1" applyBorder="1" applyAlignment="1">
      <alignment horizontal="center" vertical="center"/>
    </xf>
    <xf numFmtId="0" fontId="9" fillId="0" borderId="0" xfId="1" applyAlignment="1" applyProtection="1">
      <alignment vertical="center"/>
    </xf>
    <xf numFmtId="0" fontId="4" fillId="0" borderId="0" xfId="0" applyFont="1"/>
    <xf numFmtId="164" fontId="7" fillId="0" borderId="0" xfId="3" applyFont="1" applyFill="1" applyAlignment="1">
      <alignment vertical="center"/>
    </xf>
    <xf numFmtId="164" fontId="4" fillId="0" borderId="1" xfId="3" applyFont="1" applyFill="1" applyBorder="1" applyAlignment="1">
      <alignment horizontal="center" vertical="center"/>
    </xf>
    <xf numFmtId="164" fontId="4" fillId="0" borderId="35" xfId="3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164" fontId="4" fillId="0" borderId="0" xfId="3" applyFont="1" applyAlignment="1">
      <alignment horizontal="center" vertical="center"/>
    </xf>
    <xf numFmtId="164" fontId="4" fillId="0" borderId="3" xfId="3" applyFont="1" applyBorder="1" applyAlignment="1">
      <alignment horizontal="center" vertical="center"/>
    </xf>
    <xf numFmtId="0" fontId="0" fillId="0" borderId="0" xfId="0" applyAlignment="1">
      <alignment horizontal="center"/>
    </xf>
    <xf numFmtId="164" fontId="7" fillId="0" borderId="0" xfId="3" applyFont="1" applyAlignment="1">
      <alignment horizontal="right" vertical="center"/>
    </xf>
    <xf numFmtId="164" fontId="4" fillId="2" borderId="7" xfId="3" applyFont="1" applyFill="1" applyBorder="1" applyAlignment="1">
      <alignment horizontal="center" vertical="center"/>
    </xf>
    <xf numFmtId="164" fontId="4" fillId="0" borderId="14" xfId="3" applyFont="1" applyBorder="1" applyAlignment="1">
      <alignment vertical="center"/>
    </xf>
    <xf numFmtId="164" fontId="4" fillId="0" borderId="9" xfId="0" applyNumberFormat="1" applyFont="1" applyBorder="1" applyAlignment="1">
      <alignment vertical="center"/>
    </xf>
    <xf numFmtId="164" fontId="4" fillId="0" borderId="9" xfId="3" applyFont="1" applyBorder="1" applyAlignment="1">
      <alignment vertical="center"/>
    </xf>
    <xf numFmtId="164" fontId="4" fillId="0" borderId="38" xfId="3" applyFont="1" applyBorder="1" applyAlignment="1">
      <alignment vertical="center"/>
    </xf>
    <xf numFmtId="4" fontId="4" fillId="0" borderId="0" xfId="0" applyNumberFormat="1" applyFont="1" applyAlignment="1">
      <alignment vertical="center"/>
    </xf>
    <xf numFmtId="164" fontId="7" fillId="0" borderId="39" xfId="3" applyFont="1" applyBorder="1" applyAlignment="1">
      <alignment vertical="center"/>
    </xf>
    <xf numFmtId="164" fontId="7" fillId="0" borderId="41" xfId="3" applyFont="1" applyBorder="1" applyAlignment="1">
      <alignment vertical="center"/>
    </xf>
    <xf numFmtId="0" fontId="7" fillId="0" borderId="41" xfId="0" applyFont="1" applyBorder="1" applyAlignment="1">
      <alignment vertical="center"/>
    </xf>
    <xf numFmtId="1" fontId="7" fillId="0" borderId="37" xfId="3" applyNumberFormat="1" applyFont="1" applyBorder="1" applyAlignment="1">
      <alignment horizontal="center" vertical="center"/>
    </xf>
    <xf numFmtId="164" fontId="4" fillId="0" borderId="14" xfId="3" applyFont="1" applyBorder="1" applyAlignment="1">
      <alignment horizontal="left" vertical="center"/>
    </xf>
    <xf numFmtId="4" fontId="4" fillId="0" borderId="9" xfId="0" applyNumberFormat="1" applyFont="1" applyBorder="1" applyAlignment="1">
      <alignment horizontal="centerContinuous" vertical="center"/>
    </xf>
    <xf numFmtId="4" fontId="7" fillId="0" borderId="0" xfId="0" applyNumberFormat="1" applyFont="1" applyAlignment="1">
      <alignment vertical="center"/>
    </xf>
    <xf numFmtId="164" fontId="7" fillId="6" borderId="1" xfId="3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/>
    </xf>
    <xf numFmtId="164" fontId="7" fillId="0" borderId="1" xfId="0" applyNumberFormat="1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0" fillId="0" borderId="38" xfId="0" applyBorder="1" applyAlignment="1">
      <alignment vertical="center"/>
    </xf>
    <xf numFmtId="164" fontId="0" fillId="0" borderId="0" xfId="3" applyFont="1" applyFill="1" applyBorder="1" applyAlignment="1">
      <alignment vertical="center"/>
    </xf>
    <xf numFmtId="164" fontId="0" fillId="0" borderId="39" xfId="3" applyFont="1" applyFill="1" applyBorder="1" applyAlignment="1">
      <alignment vertical="center"/>
    </xf>
    <xf numFmtId="0" fontId="19" fillId="0" borderId="14" xfId="0" applyFont="1" applyBorder="1"/>
    <xf numFmtId="0" fontId="19" fillId="0" borderId="47" xfId="0" applyFont="1" applyBorder="1"/>
    <xf numFmtId="0" fontId="19" fillId="0" borderId="23" xfId="0" applyFont="1" applyBorder="1"/>
    <xf numFmtId="0" fontId="19" fillId="0" borderId="28" xfId="0" applyFont="1" applyBorder="1"/>
    <xf numFmtId="2" fontId="20" fillId="7" borderId="1" xfId="0" applyNumberFormat="1" applyFont="1" applyFill="1" applyBorder="1" applyAlignment="1">
      <alignment horizontal="right" vertical="center"/>
    </xf>
    <xf numFmtId="0" fontId="20" fillId="0" borderId="23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2" fontId="20" fillId="7" borderId="36" xfId="0" applyNumberFormat="1" applyFont="1" applyFill="1" applyBorder="1" applyAlignment="1">
      <alignment horizontal="right" vertical="center"/>
    </xf>
    <xf numFmtId="0" fontId="20" fillId="0" borderId="23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4" fillId="0" borderId="1" xfId="0" applyFont="1" applyBorder="1" applyAlignment="1">
      <alignment horizontal="left" vertical="center"/>
    </xf>
    <xf numFmtId="0" fontId="20" fillId="5" borderId="23" xfId="0" applyFont="1" applyFill="1" applyBorder="1" applyAlignment="1">
      <alignment horizontal="left" vertical="center"/>
    </xf>
    <xf numFmtId="0" fontId="24" fillId="5" borderId="1" xfId="0" applyFont="1" applyFill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10" fontId="7" fillId="0" borderId="0" xfId="0" applyNumberFormat="1" applyFont="1"/>
    <xf numFmtId="9" fontId="20" fillId="0" borderId="0" xfId="2" applyFont="1" applyBorder="1" applyAlignment="1">
      <alignment horizontal="right" vertical="center"/>
    </xf>
    <xf numFmtId="0" fontId="20" fillId="0" borderId="1" xfId="0" applyFont="1" applyBorder="1" applyAlignment="1">
      <alignment horizontal="left" vertical="center" wrapText="1"/>
    </xf>
    <xf numFmtId="0" fontId="20" fillId="9" borderId="24" xfId="0" applyFont="1" applyFill="1" applyBorder="1" applyAlignment="1">
      <alignment horizontal="left" vertical="center"/>
    </xf>
    <xf numFmtId="0" fontId="24" fillId="9" borderId="36" xfId="0" applyFont="1" applyFill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6" fillId="4" borderId="0" xfId="0" applyFont="1" applyFill="1" applyAlignment="1">
      <alignment horizontal="left" vertical="center"/>
    </xf>
    <xf numFmtId="0" fontId="20" fillId="4" borderId="0" xfId="0" applyFont="1" applyFill="1" applyAlignment="1">
      <alignment horizontal="left" vertical="center"/>
    </xf>
    <xf numFmtId="10" fontId="20" fillId="0" borderId="0" xfId="0" applyNumberFormat="1" applyFont="1" applyAlignment="1">
      <alignment horizontal="right" vertical="center"/>
    </xf>
    <xf numFmtId="0" fontId="27" fillId="0" borderId="0" xfId="0" applyFont="1" applyAlignment="1">
      <alignment horizontal="justify" vertical="center"/>
    </xf>
    <xf numFmtId="0" fontId="9" fillId="0" borderId="0" xfId="1" applyBorder="1" applyAlignment="1" applyProtection="1">
      <alignment horizontal="left" vertical="center"/>
    </xf>
    <xf numFmtId="0" fontId="28" fillId="0" borderId="0" xfId="0" applyFont="1"/>
    <xf numFmtId="0" fontId="20" fillId="0" borderId="0" xfId="0" applyFont="1" applyAlignment="1">
      <alignment horizontal="right" vertical="center"/>
    </xf>
    <xf numFmtId="0" fontId="9" fillId="0" borderId="0" xfId="1" applyBorder="1" applyAlignment="1" applyProtection="1">
      <alignment vertical="center"/>
    </xf>
    <xf numFmtId="0" fontId="6" fillId="0" borderId="23" xfId="0" applyFont="1" applyBorder="1"/>
    <xf numFmtId="0" fontId="6" fillId="3" borderId="20" xfId="0" applyFont="1" applyFill="1" applyBorder="1"/>
    <xf numFmtId="0" fontId="6" fillId="0" borderId="47" xfId="0" applyFont="1" applyBorder="1"/>
    <xf numFmtId="0" fontId="6" fillId="0" borderId="49" xfId="0" applyFont="1" applyBorder="1"/>
    <xf numFmtId="0" fontId="6" fillId="0" borderId="38" xfId="0" applyFont="1" applyBorder="1"/>
    <xf numFmtId="0" fontId="8" fillId="0" borderId="38" xfId="0" applyFont="1" applyBorder="1" applyAlignment="1">
      <alignment horizontal="left" vertical="center"/>
    </xf>
    <xf numFmtId="9" fontId="6" fillId="0" borderId="23" xfId="2" applyFont="1" applyBorder="1"/>
    <xf numFmtId="9" fontId="6" fillId="0" borderId="1" xfId="2" applyFont="1" applyBorder="1" applyAlignment="1">
      <alignment horizontal="center"/>
    </xf>
    <xf numFmtId="9" fontId="6" fillId="0" borderId="20" xfId="2" applyFont="1" applyBorder="1"/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center" vertical="center"/>
    </xf>
    <xf numFmtId="10" fontId="6" fillId="3" borderId="12" xfId="0" applyNumberFormat="1" applyFont="1" applyFill="1" applyBorder="1" applyAlignment="1">
      <alignment horizontal="center" vertical="center"/>
    </xf>
    <xf numFmtId="10" fontId="6" fillId="0" borderId="20" xfId="2" applyNumberFormat="1" applyFont="1" applyBorder="1"/>
    <xf numFmtId="0" fontId="6" fillId="0" borderId="23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10" fontId="6" fillId="3" borderId="20" xfId="0" applyNumberFormat="1" applyFont="1" applyFill="1" applyBorder="1" applyAlignment="1">
      <alignment horizontal="center" vertical="center"/>
    </xf>
    <xf numFmtId="10" fontId="6" fillId="0" borderId="20" xfId="0" applyNumberFormat="1" applyFont="1" applyBorder="1" applyAlignment="1">
      <alignment horizontal="center" vertical="center"/>
    </xf>
    <xf numFmtId="10" fontId="6" fillId="3" borderId="1" xfId="2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0" borderId="20" xfId="0" applyFont="1" applyBorder="1"/>
    <xf numFmtId="0" fontId="6" fillId="0" borderId="24" xfId="0" applyFont="1" applyBorder="1" applyAlignment="1">
      <alignment horizontal="left" vertical="center"/>
    </xf>
    <xf numFmtId="10" fontId="6" fillId="3" borderId="37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25" xfId="0" applyFont="1" applyBorder="1" applyAlignment="1">
      <alignment vertical="center"/>
    </xf>
    <xf numFmtId="0" fontId="6" fillId="0" borderId="26" xfId="0" applyFont="1" applyBorder="1" applyAlignment="1">
      <alignment vertical="center"/>
    </xf>
    <xf numFmtId="10" fontId="6" fillId="0" borderId="27" xfId="0" applyNumberFormat="1" applyFont="1" applyBorder="1" applyAlignment="1">
      <alignment vertical="center"/>
    </xf>
    <xf numFmtId="0" fontId="6" fillId="0" borderId="28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6" fillId="0" borderId="30" xfId="0" applyFont="1" applyBorder="1" applyAlignment="1">
      <alignment vertical="center"/>
    </xf>
    <xf numFmtId="0" fontId="8" fillId="5" borderId="5" xfId="0" applyFont="1" applyFill="1" applyBorder="1" applyAlignment="1">
      <alignment vertical="center" wrapText="1"/>
    </xf>
    <xf numFmtId="0" fontId="6" fillId="5" borderId="6" xfId="0" applyFont="1" applyFill="1" applyBorder="1" applyAlignment="1">
      <alignment vertical="center"/>
    </xf>
    <xf numFmtId="10" fontId="8" fillId="5" borderId="7" xfId="0" applyNumberFormat="1" applyFont="1" applyFill="1" applyBorder="1" applyAlignment="1">
      <alignment horizontal="center" vertical="center" wrapText="1"/>
    </xf>
    <xf numFmtId="10" fontId="6" fillId="0" borderId="23" xfId="2" applyNumberFormat="1" applyFont="1" applyBorder="1" applyAlignment="1">
      <alignment horizontal="right"/>
    </xf>
    <xf numFmtId="10" fontId="6" fillId="0" borderId="1" xfId="2" applyNumberFormat="1" applyFont="1" applyBorder="1" applyAlignment="1">
      <alignment horizontal="right"/>
    </xf>
    <xf numFmtId="10" fontId="6" fillId="0" borderId="20" xfId="2" applyNumberFormat="1" applyFont="1" applyBorder="1" applyAlignment="1">
      <alignment horizontal="right"/>
    </xf>
    <xf numFmtId="10" fontId="6" fillId="0" borderId="24" xfId="2" applyNumberFormat="1" applyFont="1" applyBorder="1" applyAlignment="1">
      <alignment horizontal="right"/>
    </xf>
    <xf numFmtId="10" fontId="6" fillId="0" borderId="36" xfId="2" applyNumberFormat="1" applyFont="1" applyBorder="1" applyAlignment="1">
      <alignment horizontal="right"/>
    </xf>
    <xf numFmtId="10" fontId="6" fillId="0" borderId="37" xfId="2" applyNumberFormat="1" applyFont="1" applyBorder="1" applyAlignment="1">
      <alignment horizontal="right"/>
    </xf>
    <xf numFmtId="0" fontId="7" fillId="0" borderId="52" xfId="0" applyFont="1" applyBorder="1"/>
    <xf numFmtId="0" fontId="21" fillId="0" borderId="52" xfId="0" applyFont="1" applyBorder="1" applyAlignment="1">
      <alignment horizontal="justify"/>
    </xf>
    <xf numFmtId="0" fontId="21" fillId="0" borderId="53" xfId="0" applyFont="1" applyBorder="1" applyAlignment="1">
      <alignment horizontal="justify"/>
    </xf>
    <xf numFmtId="0" fontId="18" fillId="10" borderId="51" xfId="0" applyFont="1" applyFill="1" applyBorder="1" applyAlignment="1">
      <alignment horizontal="center"/>
    </xf>
    <xf numFmtId="1" fontId="7" fillId="0" borderId="0" xfId="3" applyNumberFormat="1" applyFont="1" applyBorder="1" applyAlignment="1">
      <alignment horizontal="center" vertical="center"/>
    </xf>
    <xf numFmtId="164" fontId="4" fillId="0" borderId="11" xfId="3" applyFont="1" applyBorder="1" applyAlignment="1">
      <alignment vertical="center"/>
    </xf>
    <xf numFmtId="164" fontId="4" fillId="0" borderId="5" xfId="3" applyFont="1" applyBorder="1" applyAlignment="1">
      <alignment vertical="center"/>
    </xf>
    <xf numFmtId="0" fontId="5" fillId="0" borderId="3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7" borderId="1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64" fontId="4" fillId="0" borderId="9" xfId="3" applyFont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 wrapText="1"/>
    </xf>
    <xf numFmtId="166" fontId="7" fillId="0" borderId="1" xfId="3" applyNumberFormat="1" applyFont="1" applyBorder="1" applyAlignment="1">
      <alignment horizontal="center" vertical="center"/>
    </xf>
    <xf numFmtId="165" fontId="4" fillId="0" borderId="1" xfId="3" applyNumberFormat="1" applyFont="1" applyBorder="1" applyAlignment="1">
      <alignment horizontal="center" vertical="center"/>
    </xf>
    <xf numFmtId="166" fontId="4" fillId="0" borderId="1" xfId="3" applyNumberFormat="1" applyFont="1" applyBorder="1" applyAlignment="1">
      <alignment horizontal="center" vertical="center"/>
    </xf>
    <xf numFmtId="166" fontId="7" fillId="0" borderId="2" xfId="3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/>
    <xf numFmtId="0" fontId="4" fillId="0" borderId="54" xfId="0" applyFont="1" applyBorder="1" applyAlignment="1">
      <alignment vertical="center"/>
    </xf>
    <xf numFmtId="0" fontId="4" fillId="0" borderId="54" xfId="0" applyFont="1" applyBorder="1" applyAlignment="1">
      <alignment horizontal="center" vertical="center"/>
    </xf>
    <xf numFmtId="164" fontId="4" fillId="0" borderId="54" xfId="3" applyFont="1" applyBorder="1" applyAlignment="1">
      <alignment horizontal="center" vertical="center"/>
    </xf>
    <xf numFmtId="164" fontId="4" fillId="0" borderId="54" xfId="3" applyFont="1" applyFill="1" applyBorder="1" applyAlignment="1">
      <alignment horizontal="center" vertical="center"/>
    </xf>
    <xf numFmtId="4" fontId="2" fillId="0" borderId="0" xfId="0" applyNumberFormat="1" applyFont="1" applyAlignment="1">
      <alignment vertical="center"/>
    </xf>
    <xf numFmtId="0" fontId="8" fillId="0" borderId="23" xfId="0" applyFont="1" applyBorder="1"/>
    <xf numFmtId="0" fontId="8" fillId="0" borderId="20" xfId="0" applyFont="1" applyBorder="1"/>
    <xf numFmtId="169" fontId="6" fillId="0" borderId="20" xfId="0" applyNumberFormat="1" applyFont="1" applyBorder="1"/>
    <xf numFmtId="0" fontId="6" fillId="0" borderId="24" xfId="0" applyFont="1" applyBorder="1"/>
    <xf numFmtId="169" fontId="6" fillId="3" borderId="20" xfId="0" applyNumberFormat="1" applyFont="1" applyFill="1" applyBorder="1"/>
    <xf numFmtId="169" fontId="6" fillId="0" borderId="37" xfId="0" applyNumberFormat="1" applyFont="1" applyBorder="1"/>
    <xf numFmtId="0" fontId="18" fillId="0" borderId="1" xfId="0" applyFont="1" applyBorder="1" applyAlignment="1">
      <alignment horizontal="center"/>
    </xf>
    <xf numFmtId="0" fontId="18" fillId="0" borderId="23" xfId="0" applyFont="1" applyBorder="1" applyAlignment="1">
      <alignment horizontal="center"/>
    </xf>
    <xf numFmtId="0" fontId="18" fillId="0" borderId="20" xfId="0" applyFont="1" applyBorder="1" applyAlignment="1">
      <alignment horizontal="center"/>
    </xf>
    <xf numFmtId="170" fontId="6" fillId="3" borderId="20" xfId="0" applyNumberFormat="1" applyFont="1" applyFill="1" applyBorder="1"/>
    <xf numFmtId="0" fontId="6" fillId="0" borderId="23" xfId="0" applyFont="1" applyBorder="1" applyAlignment="1">
      <alignment horizontal="right"/>
    </xf>
    <xf numFmtId="4" fontId="33" fillId="0" borderId="0" xfId="0" applyNumberFormat="1" applyFont="1" applyAlignment="1">
      <alignment vertical="center"/>
    </xf>
    <xf numFmtId="0" fontId="31" fillId="0" borderId="0" xfId="0" applyFont="1"/>
    <xf numFmtId="0" fontId="2" fillId="0" borderId="2" xfId="0" applyFont="1" applyBorder="1" applyAlignment="1">
      <alignment vertical="center"/>
    </xf>
    <xf numFmtId="0" fontId="6" fillId="0" borderId="55" xfId="0" applyFont="1" applyBorder="1"/>
    <xf numFmtId="0" fontId="7" fillId="0" borderId="0" xfId="0" applyFont="1" applyAlignment="1">
      <alignment horizontal="center"/>
    </xf>
    <xf numFmtId="0" fontId="6" fillId="0" borderId="15" xfId="0" applyFont="1" applyBorder="1" applyAlignment="1">
      <alignment horizontal="center"/>
    </xf>
    <xf numFmtId="0" fontId="19" fillId="3" borderId="20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0" fontId="6" fillId="3" borderId="48" xfId="0" applyFont="1" applyFill="1" applyBorder="1" applyAlignment="1">
      <alignment horizontal="center"/>
    </xf>
    <xf numFmtId="0" fontId="6" fillId="3" borderId="50" xfId="0" applyFont="1" applyFill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39" xfId="0" applyFont="1" applyBorder="1" applyAlignment="1">
      <alignment horizontal="center"/>
    </xf>
    <xf numFmtId="0" fontId="8" fillId="0" borderId="48" xfId="0" applyFont="1" applyBorder="1" applyAlignment="1">
      <alignment horizontal="center"/>
    </xf>
    <xf numFmtId="10" fontId="19" fillId="0" borderId="20" xfId="2" applyNumberFormat="1" applyFont="1" applyBorder="1" applyAlignment="1">
      <alignment horizontal="center"/>
    </xf>
    <xf numFmtId="167" fontId="8" fillId="0" borderId="20" xfId="0" applyNumberFormat="1" applyFont="1" applyBorder="1" applyAlignment="1">
      <alignment horizontal="center"/>
    </xf>
    <xf numFmtId="0" fontId="19" fillId="0" borderId="20" xfId="0" applyFont="1" applyBorder="1" applyAlignment="1">
      <alignment horizontal="center"/>
    </xf>
    <xf numFmtId="0" fontId="19" fillId="0" borderId="48" xfId="0" applyFont="1" applyBorder="1" applyAlignment="1">
      <alignment horizontal="center"/>
    </xf>
    <xf numFmtId="9" fontId="19" fillId="0" borderId="20" xfId="2" applyFont="1" applyBorder="1" applyAlignment="1">
      <alignment horizontal="center"/>
    </xf>
    <xf numFmtId="9" fontId="8" fillId="0" borderId="31" xfId="2" applyFont="1" applyBorder="1" applyAlignment="1">
      <alignment horizontal="center"/>
    </xf>
    <xf numFmtId="168" fontId="25" fillId="0" borderId="20" xfId="3" applyNumberFormat="1" applyFont="1" applyFill="1" applyBorder="1" applyAlignment="1">
      <alignment horizontal="center" vertical="center" wrapText="1"/>
    </xf>
    <xf numFmtId="2" fontId="6" fillId="0" borderId="20" xfId="0" applyNumberFormat="1" applyFont="1" applyBorder="1"/>
    <xf numFmtId="0" fontId="24" fillId="0" borderId="1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4" fontId="0" fillId="0" borderId="0" xfId="0" applyNumberFormat="1" applyAlignment="1">
      <alignment horizontal="center" vertical="center"/>
    </xf>
    <xf numFmtId="10" fontId="20" fillId="0" borderId="20" xfId="0" applyNumberFormat="1" applyFont="1" applyBorder="1" applyAlignment="1">
      <alignment horizontal="center" vertical="center"/>
    </xf>
    <xf numFmtId="10" fontId="24" fillId="0" borderId="20" xfId="0" applyNumberFormat="1" applyFont="1" applyBorder="1" applyAlignment="1">
      <alignment horizontal="center" vertical="center"/>
    </xf>
    <xf numFmtId="10" fontId="24" fillId="5" borderId="20" xfId="0" applyNumberFormat="1" applyFont="1" applyFill="1" applyBorder="1" applyAlignment="1">
      <alignment horizontal="center" vertical="center"/>
    </xf>
    <xf numFmtId="10" fontId="24" fillId="9" borderId="37" xfId="0" applyNumberFormat="1" applyFont="1" applyFill="1" applyBorder="1" applyAlignment="1">
      <alignment horizontal="center" vertical="center"/>
    </xf>
    <xf numFmtId="10" fontId="24" fillId="0" borderId="0" xfId="0" applyNumberFormat="1" applyFont="1" applyAlignment="1">
      <alignment horizontal="center" vertical="center"/>
    </xf>
    <xf numFmtId="10" fontId="20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21" fillId="0" borderId="0" xfId="4" applyFont="1"/>
    <xf numFmtId="0" fontId="21" fillId="0" borderId="21" xfId="4" applyFont="1" applyBorder="1"/>
    <xf numFmtId="0" fontId="34" fillId="0" borderId="22" xfId="4" applyFont="1" applyBorder="1" applyAlignment="1">
      <alignment horizontal="center" vertical="center"/>
    </xf>
    <xf numFmtId="0" fontId="34" fillId="0" borderId="12" xfId="4" applyFont="1" applyBorder="1" applyAlignment="1">
      <alignment horizontal="center" vertical="center"/>
    </xf>
    <xf numFmtId="0" fontId="21" fillId="0" borderId="20" xfId="4" applyFont="1" applyBorder="1" applyAlignment="1">
      <alignment horizontal="center"/>
    </xf>
    <xf numFmtId="0" fontId="34" fillId="5" borderId="22" xfId="4" applyFont="1" applyFill="1" applyBorder="1" applyAlignment="1">
      <alignment horizontal="center" wrapText="1"/>
    </xf>
    <xf numFmtId="0" fontId="34" fillId="5" borderId="12" xfId="4" applyFont="1" applyFill="1" applyBorder="1" applyAlignment="1">
      <alignment horizontal="center" wrapText="1"/>
    </xf>
    <xf numFmtId="164" fontId="21" fillId="0" borderId="23" xfId="3" applyFont="1" applyBorder="1"/>
    <xf numFmtId="171" fontId="21" fillId="11" borderId="1" xfId="4" applyNumberFormat="1" applyFont="1" applyFill="1" applyBorder="1" applyAlignment="1">
      <alignment horizontal="center"/>
    </xf>
    <xf numFmtId="171" fontId="21" fillId="0" borderId="20" xfId="4" applyNumberFormat="1" applyFont="1" applyBorder="1" applyAlignment="1">
      <alignment horizontal="center"/>
    </xf>
    <xf numFmtId="164" fontId="34" fillId="11" borderId="23" xfId="3" applyFont="1" applyFill="1" applyBorder="1"/>
    <xf numFmtId="0" fontId="34" fillId="11" borderId="1" xfId="4" applyFont="1" applyFill="1" applyBorder="1" applyAlignment="1">
      <alignment horizontal="center"/>
    </xf>
    <xf numFmtId="171" fontId="34" fillId="11" borderId="1" xfId="4" applyNumberFormat="1" applyFont="1" applyFill="1" applyBorder="1" applyAlignment="1">
      <alignment horizontal="center"/>
    </xf>
    <xf numFmtId="171" fontId="34" fillId="11" borderId="20" xfId="4" applyNumberFormat="1" applyFont="1" applyFill="1" applyBorder="1" applyAlignment="1">
      <alignment horizontal="center"/>
    </xf>
    <xf numFmtId="164" fontId="34" fillId="5" borderId="14" xfId="3" applyFont="1" applyFill="1" applyBorder="1"/>
    <xf numFmtId="0" fontId="34" fillId="5" borderId="9" xfId="4" applyFont="1" applyFill="1" applyBorder="1" applyAlignment="1">
      <alignment horizontal="center"/>
    </xf>
    <xf numFmtId="171" fontId="34" fillId="5" borderId="10" xfId="4" applyNumberFormat="1" applyFont="1" applyFill="1" applyBorder="1" applyAlignment="1">
      <alignment horizontal="center"/>
    </xf>
    <xf numFmtId="3" fontId="34" fillId="5" borderId="1" xfId="4" applyNumberFormat="1" applyFont="1" applyFill="1" applyBorder="1" applyAlignment="1">
      <alignment horizontal="center"/>
    </xf>
    <xf numFmtId="164" fontId="21" fillId="0" borderId="28" xfId="3" applyFont="1" applyBorder="1"/>
    <xf numFmtId="0" fontId="21" fillId="0" borderId="29" xfId="4" applyFont="1" applyBorder="1" applyAlignment="1">
      <alignment horizontal="center"/>
    </xf>
    <xf numFmtId="0" fontId="21" fillId="0" borderId="30" xfId="4" applyFont="1" applyBorder="1" applyAlignment="1">
      <alignment horizontal="center"/>
    </xf>
    <xf numFmtId="164" fontId="21" fillId="0" borderId="14" xfId="3" applyFont="1" applyFill="1" applyBorder="1"/>
    <xf numFmtId="171" fontId="21" fillId="0" borderId="9" xfId="4" applyNumberFormat="1" applyFont="1" applyBorder="1" applyAlignment="1">
      <alignment horizontal="center"/>
    </xf>
    <xf numFmtId="171" fontId="21" fillId="0" borderId="10" xfId="4" applyNumberFormat="1" applyFont="1" applyBorder="1" applyAlignment="1">
      <alignment horizontal="center"/>
    </xf>
    <xf numFmtId="0" fontId="34" fillId="5" borderId="21" xfId="4" applyFont="1" applyFill="1" applyBorder="1" applyAlignment="1">
      <alignment horizontal="centerContinuous" vertical="center"/>
    </xf>
    <xf numFmtId="0" fontId="34" fillId="5" borderId="22" xfId="4" applyFont="1" applyFill="1" applyBorder="1" applyAlignment="1">
      <alignment horizontal="centerContinuous" vertical="center"/>
    </xf>
    <xf numFmtId="0" fontId="34" fillId="0" borderId="26" xfId="4" applyFont="1" applyBorder="1" applyAlignment="1">
      <alignment horizontal="center" wrapText="1"/>
    </xf>
    <xf numFmtId="0" fontId="34" fillId="0" borderId="27" xfId="4" applyFont="1" applyBorder="1" applyAlignment="1">
      <alignment horizontal="center" wrapText="1"/>
    </xf>
    <xf numFmtId="171" fontId="21" fillId="0" borderId="39" xfId="4" applyNumberFormat="1" applyFont="1" applyBorder="1" applyAlignment="1">
      <alignment horizontal="center"/>
    </xf>
    <xf numFmtId="164" fontId="21" fillId="0" borderId="14" xfId="3" applyFont="1" applyBorder="1"/>
    <xf numFmtId="171" fontId="34" fillId="0" borderId="0" xfId="4" applyNumberFormat="1" applyFont="1" applyAlignment="1">
      <alignment horizontal="center"/>
    </xf>
    <xf numFmtId="171" fontId="34" fillId="0" borderId="39" xfId="4" applyNumberFormat="1" applyFont="1" applyBorder="1" applyAlignment="1">
      <alignment horizontal="center"/>
    </xf>
    <xf numFmtId="164" fontId="21" fillId="0" borderId="19" xfId="3" applyFont="1" applyBorder="1"/>
    <xf numFmtId="0" fontId="21" fillId="0" borderId="11" xfId="4" applyFont="1" applyBorder="1"/>
    <xf numFmtId="0" fontId="21" fillId="0" borderId="59" xfId="4" applyFont="1" applyBorder="1"/>
    <xf numFmtId="0" fontId="21" fillId="0" borderId="9" xfId="4" applyFont="1" applyBorder="1"/>
    <xf numFmtId="0" fontId="21" fillId="0" borderId="10" xfId="4" applyFont="1" applyBorder="1"/>
    <xf numFmtId="0" fontId="36" fillId="0" borderId="0" xfId="4" applyFont="1"/>
    <xf numFmtId="164" fontId="34" fillId="5" borderId="17" xfId="3" applyFont="1" applyFill="1" applyBorder="1" applyAlignment="1">
      <alignment horizontal="center" vertical="center" wrapText="1"/>
    </xf>
    <xf numFmtId="164" fontId="34" fillId="5" borderId="6" xfId="3" applyFont="1" applyFill="1" applyBorder="1" applyAlignment="1">
      <alignment horizontal="center" vertical="center" wrapText="1"/>
    </xf>
    <xf numFmtId="164" fontId="34" fillId="5" borderId="4" xfId="3" applyFont="1" applyFill="1" applyBorder="1" applyAlignment="1">
      <alignment horizontal="center" vertical="center" wrapText="1"/>
    </xf>
    <xf numFmtId="0" fontId="32" fillId="0" borderId="1" xfId="4" applyFont="1" applyBorder="1" applyAlignment="1">
      <alignment horizontal="center"/>
    </xf>
    <xf numFmtId="171" fontId="32" fillId="0" borderId="1" xfId="4" applyNumberFormat="1" applyFont="1" applyBorder="1" applyAlignment="1">
      <alignment horizontal="center"/>
    </xf>
    <xf numFmtId="164" fontId="35" fillId="0" borderId="38" xfId="3" applyFont="1" applyFill="1" applyBorder="1"/>
    <xf numFmtId="0" fontId="32" fillId="0" borderId="0" xfId="4" applyFont="1" applyAlignment="1">
      <alignment horizontal="center"/>
    </xf>
    <xf numFmtId="0" fontId="32" fillId="0" borderId="39" xfId="4" applyFont="1" applyBorder="1" applyAlignment="1">
      <alignment horizontal="center"/>
    </xf>
    <xf numFmtId="0" fontId="5" fillId="5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171" fontId="6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2" fontId="8" fillId="0" borderId="1" xfId="0" applyNumberFormat="1" applyFont="1" applyBorder="1" applyAlignment="1">
      <alignment horizontal="center" vertical="center"/>
    </xf>
    <xf numFmtId="0" fontId="5" fillId="8" borderId="6" xfId="4" applyFont="1" applyFill="1" applyBorder="1"/>
    <xf numFmtId="0" fontId="5" fillId="8" borderId="7" xfId="4" applyFont="1" applyFill="1" applyBorder="1"/>
    <xf numFmtId="164" fontId="5" fillId="5" borderId="14" xfId="3" applyFont="1" applyFill="1" applyBorder="1"/>
    <xf numFmtId="0" fontId="34" fillId="5" borderId="9" xfId="4" applyFont="1" applyFill="1" applyBorder="1" applyAlignment="1">
      <alignment horizontal="center" wrapText="1"/>
    </xf>
    <xf numFmtId="0" fontId="34" fillId="5" borderId="15" xfId="4" applyFont="1" applyFill="1" applyBorder="1" applyAlignment="1">
      <alignment horizontal="center" wrapText="1"/>
    </xf>
    <xf numFmtId="0" fontId="34" fillId="0" borderId="61" xfId="4" applyFont="1" applyBorder="1" applyAlignment="1">
      <alignment horizontal="center" wrapText="1"/>
    </xf>
    <xf numFmtId="171" fontId="21" fillId="0" borderId="62" xfId="4" applyNumberFormat="1" applyFont="1" applyBorder="1" applyAlignment="1">
      <alignment horizontal="center"/>
    </xf>
    <xf numFmtId="171" fontId="21" fillId="0" borderId="0" xfId="4" applyNumberFormat="1" applyFont="1" applyAlignment="1">
      <alignment horizontal="center"/>
    </xf>
    <xf numFmtId="164" fontId="34" fillId="5" borderId="55" xfId="3" applyFont="1" applyFill="1" applyBorder="1"/>
    <xf numFmtId="0" fontId="34" fillId="5" borderId="56" xfId="4" applyFont="1" applyFill="1" applyBorder="1" applyAlignment="1">
      <alignment horizontal="center"/>
    </xf>
    <xf numFmtId="0" fontId="34" fillId="5" borderId="57" xfId="4" applyFont="1" applyFill="1" applyBorder="1" applyAlignment="1">
      <alignment horizontal="center"/>
    </xf>
    <xf numFmtId="0" fontId="34" fillId="5" borderId="3" xfId="4" applyFont="1" applyFill="1" applyBorder="1" applyAlignment="1">
      <alignment horizontal="center"/>
    </xf>
    <xf numFmtId="171" fontId="34" fillId="0" borderId="62" xfId="4" applyNumberFormat="1" applyFont="1" applyBorder="1" applyAlignment="1">
      <alignment horizontal="center"/>
    </xf>
    <xf numFmtId="164" fontId="35" fillId="4" borderId="25" xfId="3" applyFont="1" applyFill="1" applyBorder="1"/>
    <xf numFmtId="0" fontId="32" fillId="4" borderId="26" xfId="4" applyFont="1" applyFill="1" applyBorder="1" applyAlignment="1">
      <alignment horizontal="center"/>
    </xf>
    <xf numFmtId="0" fontId="32" fillId="4" borderId="27" xfId="4" applyFont="1" applyFill="1" applyBorder="1" applyAlignment="1">
      <alignment horizontal="center"/>
    </xf>
    <xf numFmtId="164" fontId="35" fillId="4" borderId="38" xfId="3" applyFont="1" applyFill="1" applyBorder="1"/>
    <xf numFmtId="0" fontId="32" fillId="4" borderId="0" xfId="4" applyFont="1" applyFill="1" applyAlignment="1">
      <alignment horizontal="center"/>
    </xf>
    <xf numFmtId="0" fontId="32" fillId="4" borderId="39" xfId="4" applyFont="1" applyFill="1" applyBorder="1" applyAlignment="1">
      <alignment horizontal="center"/>
    </xf>
    <xf numFmtId="164" fontId="35" fillId="4" borderId="28" xfId="3" applyFont="1" applyFill="1" applyBorder="1"/>
    <xf numFmtId="0" fontId="32" fillId="4" borderId="29" xfId="4" applyFont="1" applyFill="1" applyBorder="1" applyAlignment="1">
      <alignment horizontal="center"/>
    </xf>
    <xf numFmtId="0" fontId="32" fillId="4" borderId="30" xfId="4" applyFont="1" applyFill="1" applyBorder="1" applyAlignment="1">
      <alignment horizontal="center"/>
    </xf>
    <xf numFmtId="164" fontId="34" fillId="0" borderId="40" xfId="3" applyFont="1" applyBorder="1"/>
    <xf numFmtId="0" fontId="34" fillId="0" borderId="41" xfId="4" applyFont="1" applyBorder="1"/>
    <xf numFmtId="0" fontId="34" fillId="0" borderId="60" xfId="4" applyFont="1" applyBorder="1"/>
    <xf numFmtId="0" fontId="5" fillId="5" borderId="37" xfId="4" applyFont="1" applyFill="1" applyBorder="1" applyAlignment="1">
      <alignment horizontal="center"/>
    </xf>
    <xf numFmtId="164" fontId="5" fillId="8" borderId="5" xfId="3" applyFont="1" applyFill="1" applyBorder="1" applyAlignment="1"/>
    <xf numFmtId="164" fontId="34" fillId="0" borderId="23" xfId="3" applyFont="1" applyBorder="1" applyAlignment="1">
      <alignment horizontal="left" vertical="center"/>
    </xf>
    <xf numFmtId="164" fontId="34" fillId="0" borderId="24" xfId="3" applyFont="1" applyBorder="1" applyAlignment="1">
      <alignment horizontal="left" vertical="center"/>
    </xf>
    <xf numFmtId="0" fontId="32" fillId="0" borderId="0" xfId="0" applyFont="1"/>
    <xf numFmtId="0" fontId="32" fillId="0" borderId="0" xfId="0" applyFont="1" applyAlignment="1">
      <alignment vertical="center"/>
    </xf>
    <xf numFmtId="0" fontId="8" fillId="5" borderId="1" xfId="0" applyFont="1" applyFill="1" applyBorder="1" applyAlignment="1">
      <alignment horizontal="center" vertical="center" wrapText="1"/>
    </xf>
    <xf numFmtId="164" fontId="5" fillId="5" borderId="5" xfId="3" applyFont="1" applyFill="1" applyBorder="1"/>
    <xf numFmtId="0" fontId="34" fillId="5" borderId="6" xfId="4" applyFont="1" applyFill="1" applyBorder="1" applyAlignment="1">
      <alignment horizontal="center" wrapText="1"/>
    </xf>
    <xf numFmtId="0" fontId="34" fillId="5" borderId="7" xfId="4" applyFont="1" applyFill="1" applyBorder="1" applyAlignment="1">
      <alignment horizontal="center" wrapText="1"/>
    </xf>
    <xf numFmtId="0" fontId="8" fillId="13" borderId="19" xfId="0" applyFont="1" applyFill="1" applyBorder="1" applyAlignment="1">
      <alignment vertical="center"/>
    </xf>
    <xf numFmtId="0" fontId="6" fillId="13" borderId="11" xfId="0" applyFont="1" applyFill="1" applyBorder="1"/>
    <xf numFmtId="0" fontId="6" fillId="13" borderId="46" xfId="0" applyFont="1" applyFill="1" applyBorder="1"/>
    <xf numFmtId="0" fontId="8" fillId="5" borderId="20" xfId="0" applyFont="1" applyFill="1" applyBorder="1" applyAlignment="1">
      <alignment horizontal="center" vertical="center" wrapText="1"/>
    </xf>
    <xf numFmtId="164" fontId="8" fillId="5" borderId="40" xfId="3" applyFont="1" applyFill="1" applyBorder="1" applyAlignment="1">
      <alignment vertical="center"/>
    </xf>
    <xf numFmtId="0" fontId="8" fillId="5" borderId="60" xfId="0" applyFont="1" applyFill="1" applyBorder="1" applyAlignment="1">
      <alignment vertical="center"/>
    </xf>
    <xf numFmtId="0" fontId="8" fillId="5" borderId="36" xfId="0" applyFont="1" applyFill="1" applyBorder="1" applyAlignment="1">
      <alignment horizontal="center" vertical="center"/>
    </xf>
    <xf numFmtId="44" fontId="8" fillId="5" borderId="37" xfId="6" applyFont="1" applyFill="1" applyBorder="1" applyAlignment="1">
      <alignment vertical="center"/>
    </xf>
    <xf numFmtId="171" fontId="32" fillId="0" borderId="22" xfId="3" applyNumberFormat="1" applyFont="1" applyFill="1" applyBorder="1" applyAlignment="1">
      <alignment horizontal="center" vertical="center"/>
    </xf>
    <xf numFmtId="171" fontId="5" fillId="0" borderId="22" xfId="3" applyNumberFormat="1" applyFont="1" applyFill="1" applyBorder="1" applyAlignment="1">
      <alignment horizontal="center" vertical="center"/>
    </xf>
    <xf numFmtId="164" fontId="21" fillId="0" borderId="38" xfId="3" applyFont="1" applyFill="1" applyBorder="1" applyAlignment="1">
      <alignment horizontal="left" vertical="center"/>
    </xf>
    <xf numFmtId="164" fontId="21" fillId="0" borderId="0" xfId="3" applyFont="1" applyFill="1" applyBorder="1" applyAlignment="1">
      <alignment horizontal="left" vertical="center"/>
    </xf>
    <xf numFmtId="164" fontId="21" fillId="0" borderId="63" xfId="3" applyFont="1" applyFill="1" applyBorder="1" applyAlignment="1">
      <alignment horizontal="left" vertical="center"/>
    </xf>
    <xf numFmtId="1" fontId="32" fillId="0" borderId="64" xfId="3" applyNumberFormat="1" applyFont="1" applyFill="1" applyBorder="1" applyAlignment="1">
      <alignment horizontal="center" vertical="center"/>
    </xf>
    <xf numFmtId="164" fontId="0" fillId="0" borderId="14" xfId="3" applyFont="1" applyFill="1" applyBorder="1" applyAlignment="1">
      <alignment vertical="center"/>
    </xf>
    <xf numFmtId="164" fontId="7" fillId="0" borderId="19" xfId="3" applyFont="1" applyFill="1" applyBorder="1" applyAlignment="1">
      <alignment vertical="center"/>
    </xf>
    <xf numFmtId="164" fontId="7" fillId="0" borderId="14" xfId="3" applyFont="1" applyFill="1" applyBorder="1" applyAlignment="1">
      <alignment vertical="center"/>
    </xf>
    <xf numFmtId="164" fontId="4" fillId="0" borderId="13" xfId="3" applyFont="1" applyBorder="1" applyAlignment="1">
      <alignment horizontal="center" vertical="center"/>
    </xf>
    <xf numFmtId="164" fontId="7" fillId="0" borderId="40" xfId="3" applyFont="1" applyFill="1" applyBorder="1" applyAlignment="1">
      <alignment vertical="center"/>
    </xf>
    <xf numFmtId="172" fontId="7" fillId="0" borderId="1" xfId="3" applyNumberFormat="1" applyFont="1" applyFill="1" applyBorder="1" applyAlignment="1">
      <alignment vertical="center"/>
    </xf>
    <xf numFmtId="172" fontId="7" fillId="0" borderId="1" xfId="3" applyNumberFormat="1" applyFont="1" applyBorder="1" applyAlignment="1">
      <alignment vertical="center"/>
    </xf>
    <xf numFmtId="164" fontId="21" fillId="0" borderId="55" xfId="3" applyFont="1" applyFill="1" applyBorder="1" applyAlignment="1">
      <alignment horizontal="left" vertical="center"/>
    </xf>
    <xf numFmtId="164" fontId="21" fillId="0" borderId="56" xfId="3" applyFont="1" applyFill="1" applyBorder="1" applyAlignment="1">
      <alignment horizontal="left" vertical="center"/>
    </xf>
    <xf numFmtId="164" fontId="21" fillId="0" borderId="57" xfId="3" applyFont="1" applyFill="1" applyBorder="1" applyAlignment="1">
      <alignment horizontal="left" vertical="center"/>
    </xf>
    <xf numFmtId="1" fontId="32" fillId="0" borderId="3" xfId="3" applyNumberFormat="1" applyFont="1" applyFill="1" applyBorder="1" applyAlignment="1">
      <alignment horizontal="center" vertical="center"/>
    </xf>
    <xf numFmtId="171" fontId="32" fillId="0" borderId="3" xfId="3" applyNumberFormat="1" applyFont="1" applyFill="1" applyBorder="1" applyAlignment="1">
      <alignment horizontal="center" vertical="center"/>
    </xf>
    <xf numFmtId="10" fontId="5" fillId="12" borderId="36" xfId="2" applyNumberFormat="1" applyFont="1" applyFill="1" applyBorder="1" applyAlignment="1">
      <alignment horizontal="center" vertical="center"/>
    </xf>
    <xf numFmtId="1" fontId="32" fillId="0" borderId="12" xfId="3" applyNumberFormat="1" applyFont="1" applyFill="1" applyBorder="1" applyAlignment="1">
      <alignment horizontal="center" vertical="center"/>
    </xf>
    <xf numFmtId="1" fontId="32" fillId="0" borderId="37" xfId="3" applyNumberFormat="1" applyFont="1" applyFill="1" applyBorder="1" applyAlignment="1">
      <alignment horizontal="center" vertical="center"/>
    </xf>
    <xf numFmtId="171" fontId="21" fillId="14" borderId="17" xfId="3" applyNumberFormat="1" applyFont="1" applyFill="1" applyBorder="1" applyAlignment="1">
      <alignment horizontal="center" vertical="center"/>
    </xf>
    <xf numFmtId="171" fontId="5" fillId="5" borderId="17" xfId="3" applyNumberFormat="1" applyFont="1" applyFill="1" applyBorder="1" applyAlignment="1">
      <alignment horizontal="center" vertical="center"/>
    </xf>
    <xf numFmtId="10" fontId="5" fillId="14" borderId="7" xfId="2" applyNumberFormat="1" applyFont="1" applyFill="1" applyBorder="1" applyAlignment="1">
      <alignment horizontal="center" vertical="center"/>
    </xf>
    <xf numFmtId="171" fontId="21" fillId="14" borderId="6" xfId="3" applyNumberFormat="1" applyFont="1" applyFill="1" applyBorder="1" applyAlignment="1">
      <alignment horizontal="center" vertical="center"/>
    </xf>
    <xf numFmtId="172" fontId="7" fillId="0" borderId="8" xfId="3" applyNumberFormat="1" applyFont="1" applyBorder="1" applyAlignment="1">
      <alignment vertical="center"/>
    </xf>
    <xf numFmtId="0" fontId="5" fillId="8" borderId="1" xfId="0" applyFont="1" applyFill="1" applyBorder="1" applyAlignment="1">
      <alignment vertical="center"/>
    </xf>
    <xf numFmtId="0" fontId="32" fillId="8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44" fontId="4" fillId="0" borderId="1" xfId="7" applyFont="1" applyBorder="1" applyAlignment="1">
      <alignment vertical="center"/>
    </xf>
    <xf numFmtId="44" fontId="0" fillId="0" borderId="1" xfId="7" applyFont="1" applyBorder="1" applyAlignment="1">
      <alignment vertical="center"/>
    </xf>
    <xf numFmtId="44" fontId="4" fillId="0" borderId="36" xfId="7" applyFont="1" applyBorder="1" applyAlignment="1">
      <alignment vertical="center"/>
    </xf>
    <xf numFmtId="44" fontId="4" fillId="0" borderId="34" xfId="7" applyFont="1" applyBorder="1" applyAlignment="1">
      <alignment vertical="center"/>
    </xf>
    <xf numFmtId="10" fontId="4" fillId="0" borderId="15" xfId="2" applyNumberFormat="1" applyFont="1" applyBorder="1" applyAlignment="1">
      <alignment horizontal="center" vertical="center"/>
    </xf>
    <xf numFmtId="10" fontId="0" fillId="0" borderId="15" xfId="2" applyNumberFormat="1" applyFont="1" applyBorder="1" applyAlignment="1">
      <alignment horizontal="center" vertical="center"/>
    </xf>
    <xf numFmtId="10" fontId="7" fillId="0" borderId="15" xfId="2" applyNumberFormat="1" applyFont="1" applyBorder="1" applyAlignment="1">
      <alignment horizontal="center" vertical="center"/>
    </xf>
    <xf numFmtId="10" fontId="4" fillId="0" borderId="18" xfId="2" applyNumberFormat="1" applyFont="1" applyBorder="1" applyAlignment="1">
      <alignment horizontal="center" vertical="center"/>
    </xf>
    <xf numFmtId="3" fontId="34" fillId="8" borderId="36" xfId="4" applyNumberFormat="1" applyFont="1" applyFill="1" applyBorder="1" applyAlignment="1">
      <alignment horizontal="center"/>
    </xf>
    <xf numFmtId="3" fontId="5" fillId="9" borderId="20" xfId="4" applyNumberFormat="1" applyFont="1" applyFill="1" applyBorder="1" applyAlignment="1">
      <alignment horizontal="center" vertical="center"/>
    </xf>
    <xf numFmtId="10" fontId="5" fillId="12" borderId="23" xfId="2" applyNumberFormat="1" applyFont="1" applyFill="1" applyBorder="1" applyAlignment="1">
      <alignment horizontal="center" vertical="center"/>
    </xf>
    <xf numFmtId="10" fontId="5" fillId="12" borderId="1" xfId="2" applyNumberFormat="1" applyFont="1" applyFill="1" applyBorder="1" applyAlignment="1">
      <alignment horizontal="center" vertical="center"/>
    </xf>
    <xf numFmtId="10" fontId="5" fillId="12" borderId="20" xfId="2" applyNumberFormat="1" applyFont="1" applyFill="1" applyBorder="1" applyAlignment="1">
      <alignment horizontal="center" vertical="center"/>
    </xf>
    <xf numFmtId="10" fontId="5" fillId="12" borderId="24" xfId="2" applyNumberFormat="1" applyFont="1" applyFill="1" applyBorder="1" applyAlignment="1">
      <alignment horizontal="center" vertical="center"/>
    </xf>
    <xf numFmtId="10" fontId="5" fillId="12" borderId="37" xfId="2" applyNumberFormat="1" applyFont="1" applyFill="1" applyBorder="1" applyAlignment="1">
      <alignment horizontal="center" vertical="center"/>
    </xf>
    <xf numFmtId="0" fontId="34" fillId="8" borderId="36" xfId="4" applyFont="1" applyFill="1" applyBorder="1" applyAlignment="1">
      <alignment horizontal="center"/>
    </xf>
    <xf numFmtId="171" fontId="34" fillId="8" borderId="36" xfId="4" applyNumberFormat="1" applyFont="1" applyFill="1" applyBorder="1" applyAlignment="1">
      <alignment horizontal="center"/>
    </xf>
    <xf numFmtId="0" fontId="4" fillId="0" borderId="8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1" fontId="34" fillId="8" borderId="36" xfId="4" applyNumberFormat="1" applyFont="1" applyFill="1" applyBorder="1" applyAlignment="1">
      <alignment horizontal="center"/>
    </xf>
    <xf numFmtId="3" fontId="34" fillId="9" borderId="37" xfId="4" applyNumberFormat="1" applyFont="1" applyFill="1" applyBorder="1" applyAlignment="1">
      <alignment horizontal="center"/>
    </xf>
    <xf numFmtId="4" fontId="35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3" fillId="0" borderId="0" xfId="3" applyFont="1" applyFill="1" applyAlignment="1">
      <alignment vertical="center"/>
    </xf>
    <xf numFmtId="173" fontId="5" fillId="12" borderId="22" xfId="2" applyNumberFormat="1" applyFont="1" applyFill="1" applyBorder="1" applyAlignment="1">
      <alignment horizontal="center" vertical="center"/>
    </xf>
    <xf numFmtId="173" fontId="5" fillId="12" borderId="36" xfId="2" applyNumberFormat="1" applyFont="1" applyFill="1" applyBorder="1" applyAlignment="1">
      <alignment horizontal="center" vertical="center"/>
    </xf>
    <xf numFmtId="173" fontId="5" fillId="5" borderId="6" xfId="2" applyNumberFormat="1" applyFont="1" applyFill="1" applyBorder="1" applyAlignment="1">
      <alignment horizontal="center" vertical="center"/>
    </xf>
    <xf numFmtId="172" fontId="7" fillId="0" borderId="0" xfId="3" applyNumberFormat="1" applyFont="1" applyFill="1" applyBorder="1" applyAlignment="1">
      <alignment vertical="center"/>
    </xf>
    <xf numFmtId="164" fontId="2" fillId="3" borderId="1" xfId="3" applyFont="1" applyFill="1" applyBorder="1" applyAlignment="1">
      <alignment horizontal="center" vertical="center"/>
    </xf>
    <xf numFmtId="164" fontId="2" fillId="0" borderId="1" xfId="3" applyFont="1" applyBorder="1" applyAlignment="1">
      <alignment horizontal="center" vertical="center"/>
    </xf>
    <xf numFmtId="0" fontId="21" fillId="15" borderId="1" xfId="4" applyFont="1" applyFill="1" applyBorder="1" applyAlignment="1">
      <alignment horizontal="center" vertical="center"/>
    </xf>
    <xf numFmtId="0" fontId="21" fillId="16" borderId="1" xfId="4" applyFont="1" applyFill="1" applyBorder="1" applyAlignment="1">
      <alignment horizontal="center" vertical="center"/>
    </xf>
    <xf numFmtId="0" fontId="32" fillId="16" borderId="20" xfId="4" applyFont="1" applyFill="1" applyBorder="1" applyAlignment="1">
      <alignment horizontal="center"/>
    </xf>
    <xf numFmtId="0" fontId="32" fillId="15" borderId="12" xfId="4" applyFont="1" applyFill="1" applyBorder="1" applyAlignment="1">
      <alignment horizontal="center"/>
    </xf>
    <xf numFmtId="12" fontId="7" fillId="3" borderId="1" xfId="0" applyNumberFormat="1" applyFont="1" applyFill="1" applyBorder="1" applyAlignment="1">
      <alignment horizontal="center" vertical="center"/>
    </xf>
    <xf numFmtId="164" fontId="7" fillId="3" borderId="64" xfId="3" applyFont="1" applyFill="1" applyBorder="1" applyAlignment="1">
      <alignment horizontal="center" vertical="center"/>
    </xf>
    <xf numFmtId="164" fontId="7" fillId="0" borderId="3" xfId="3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7" fillId="3" borderId="18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6" fillId="0" borderId="36" xfId="0" applyFont="1" applyBorder="1" applyAlignment="1">
      <alignment horizontal="center"/>
    </xf>
    <xf numFmtId="164" fontId="4" fillId="0" borderId="5" xfId="3" applyFont="1" applyFill="1" applyBorder="1" applyAlignment="1">
      <alignment vertical="center"/>
    </xf>
    <xf numFmtId="164" fontId="19" fillId="8" borderId="40" xfId="3" applyFont="1" applyFill="1" applyBorder="1"/>
    <xf numFmtId="3" fontId="5" fillId="9" borderId="50" xfId="4" applyNumberFormat="1" applyFont="1" applyFill="1" applyBorder="1" applyAlignment="1">
      <alignment horizontal="center" vertical="center"/>
    </xf>
    <xf numFmtId="10" fontId="5" fillId="12" borderId="49" xfId="2" applyNumberFormat="1" applyFont="1" applyFill="1" applyBorder="1" applyAlignment="1">
      <alignment horizontal="center" vertical="center"/>
    </xf>
    <xf numFmtId="10" fontId="5" fillId="12" borderId="2" xfId="2" applyNumberFormat="1" applyFont="1" applyFill="1" applyBorder="1" applyAlignment="1">
      <alignment horizontal="center" vertical="center"/>
    </xf>
    <xf numFmtId="10" fontId="5" fillId="12" borderId="50" xfId="2" applyNumberFormat="1" applyFont="1" applyFill="1" applyBorder="1" applyAlignment="1">
      <alignment horizontal="center" vertical="center"/>
    </xf>
    <xf numFmtId="164" fontId="34" fillId="11" borderId="24" xfId="3" applyFont="1" applyFill="1" applyBorder="1"/>
    <xf numFmtId="171" fontId="34" fillId="11" borderId="36" xfId="4" applyNumberFormat="1" applyFont="1" applyFill="1" applyBorder="1" applyAlignment="1">
      <alignment horizontal="center"/>
    </xf>
    <xf numFmtId="0" fontId="34" fillId="11" borderId="36" xfId="4" applyFont="1" applyFill="1" applyBorder="1" applyAlignment="1">
      <alignment horizontal="center"/>
    </xf>
    <xf numFmtId="171" fontId="34" fillId="11" borderId="37" xfId="4" applyNumberFormat="1" applyFont="1" applyFill="1" applyBorder="1" applyAlignment="1">
      <alignment horizontal="center"/>
    </xf>
    <xf numFmtId="0" fontId="34" fillId="5" borderId="21" xfId="4" applyFont="1" applyFill="1" applyBorder="1" applyAlignment="1">
      <alignment horizontal="center" vertical="center"/>
    </xf>
    <xf numFmtId="164" fontId="34" fillId="0" borderId="49" xfId="3" applyFont="1" applyFill="1" applyBorder="1"/>
    <xf numFmtId="1" fontId="34" fillId="0" borderId="2" xfId="4" applyNumberFormat="1" applyFont="1" applyBorder="1" applyAlignment="1">
      <alignment horizontal="center"/>
    </xf>
    <xf numFmtId="3" fontId="34" fillId="0" borderId="2" xfId="4" applyNumberFormat="1" applyFont="1" applyBorder="1" applyAlignment="1">
      <alignment horizontal="center"/>
    </xf>
    <xf numFmtId="164" fontId="34" fillId="0" borderId="23" xfId="3" applyFont="1" applyFill="1" applyBorder="1"/>
    <xf numFmtId="1" fontId="34" fillId="0" borderId="1" xfId="4" applyNumberFormat="1" applyFont="1" applyBorder="1" applyAlignment="1">
      <alignment horizontal="center"/>
    </xf>
    <xf numFmtId="3" fontId="34" fillId="0" borderId="1" xfId="4" applyNumberFormat="1" applyFont="1" applyBorder="1" applyAlignment="1">
      <alignment horizontal="center"/>
    </xf>
    <xf numFmtId="0" fontId="38" fillId="0" borderId="0" xfId="4" applyFont="1"/>
    <xf numFmtId="171" fontId="32" fillId="0" borderId="1" xfId="4" applyNumberFormat="1" applyFont="1" applyFill="1" applyBorder="1" applyAlignment="1">
      <alignment horizontal="center"/>
    </xf>
    <xf numFmtId="173" fontId="5" fillId="12" borderId="29" xfId="2" applyNumberFormat="1" applyFont="1" applyFill="1" applyBorder="1" applyAlignment="1">
      <alignment horizontal="center" vertical="center"/>
    </xf>
    <xf numFmtId="173" fontId="4" fillId="6" borderId="7" xfId="2" applyNumberFormat="1" applyFont="1" applyFill="1" applyBorder="1" applyAlignment="1">
      <alignment horizontal="center" vertical="center"/>
    </xf>
    <xf numFmtId="164" fontId="21" fillId="0" borderId="23" xfId="3" applyFont="1" applyFill="1" applyBorder="1"/>
    <xf numFmtId="164" fontId="35" fillId="0" borderId="55" xfId="3" applyFont="1" applyFill="1" applyBorder="1"/>
    <xf numFmtId="0" fontId="32" fillId="0" borderId="56" xfId="4" applyFont="1" applyFill="1" applyBorder="1" applyAlignment="1">
      <alignment horizontal="center"/>
    </xf>
    <xf numFmtId="0" fontId="32" fillId="0" borderId="58" xfId="4" applyFont="1" applyFill="1" applyBorder="1" applyAlignment="1">
      <alignment horizontal="center"/>
    </xf>
    <xf numFmtId="0" fontId="32" fillId="0" borderId="0" xfId="4" applyFont="1" applyFill="1" applyBorder="1" applyAlignment="1">
      <alignment horizontal="center"/>
    </xf>
    <xf numFmtId="0" fontId="32" fillId="0" borderId="39" xfId="4" applyFont="1" applyFill="1" applyBorder="1" applyAlignment="1">
      <alignment horizontal="center"/>
    </xf>
    <xf numFmtId="0" fontId="32" fillId="0" borderId="0" xfId="4" applyFont="1" applyFill="1" applyAlignment="1">
      <alignment horizontal="center"/>
    </xf>
    <xf numFmtId="164" fontId="21" fillId="0" borderId="28" xfId="3" applyFont="1" applyFill="1" applyBorder="1"/>
    <xf numFmtId="0" fontId="21" fillId="0" borderId="29" xfId="4" applyFont="1" applyFill="1" applyBorder="1" applyAlignment="1">
      <alignment horizontal="center"/>
    </xf>
    <xf numFmtId="0" fontId="21" fillId="0" borderId="30" xfId="4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 vertical="center" wrapText="1"/>
    </xf>
    <xf numFmtId="44" fontId="6" fillId="0" borderId="20" xfId="6" applyFont="1" applyFill="1" applyBorder="1" applyAlignment="1">
      <alignment vertical="center"/>
    </xf>
    <xf numFmtId="164" fontId="6" fillId="0" borderId="14" xfId="3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8" fillId="5" borderId="60" xfId="0" applyFont="1" applyFill="1" applyBorder="1" applyAlignment="1">
      <alignment horizontal="center" vertical="center"/>
    </xf>
    <xf numFmtId="0" fontId="6" fillId="13" borderId="11" xfId="0" applyFont="1" applyFill="1" applyBorder="1" applyAlignment="1">
      <alignment horizontal="center" vertical="center"/>
    </xf>
    <xf numFmtId="0" fontId="21" fillId="0" borderId="0" xfId="4" applyFont="1" applyAlignment="1">
      <alignment horizontal="center" vertical="center"/>
    </xf>
    <xf numFmtId="171" fontId="5" fillId="0" borderId="1" xfId="3" applyNumberFormat="1" applyFont="1" applyFill="1" applyBorder="1" applyAlignment="1">
      <alignment horizontal="center" vertical="center"/>
    </xf>
    <xf numFmtId="171" fontId="32" fillId="0" borderId="30" xfId="3" applyNumberFormat="1" applyFont="1" applyFill="1" applyBorder="1" applyAlignment="1">
      <alignment horizontal="center" vertical="center"/>
    </xf>
    <xf numFmtId="164" fontId="2" fillId="0" borderId="14" xfId="3" applyFont="1" applyFill="1" applyBorder="1" applyAlignment="1">
      <alignment horizontal="left" vertical="center"/>
    </xf>
    <xf numFmtId="0" fontId="7" fillId="0" borderId="3" xfId="0" applyFont="1" applyFill="1" applyBorder="1" applyAlignment="1">
      <alignment vertical="center"/>
    </xf>
    <xf numFmtId="164" fontId="4" fillId="0" borderId="64" xfId="3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1" fontId="7" fillId="0" borderId="1" xfId="0" applyNumberFormat="1" applyFont="1" applyFill="1" applyBorder="1" applyAlignment="1">
      <alignment horizontal="center" vertical="center"/>
    </xf>
    <xf numFmtId="1" fontId="7" fillId="0" borderId="1" xfId="3" applyNumberFormat="1" applyFont="1" applyBorder="1" applyAlignment="1">
      <alignment horizontal="center" vertical="center"/>
    </xf>
    <xf numFmtId="1" fontId="7" fillId="3" borderId="0" xfId="0" applyNumberFormat="1" applyFont="1" applyFill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/>
    </xf>
    <xf numFmtId="0" fontId="45" fillId="0" borderId="0" xfId="4" applyFont="1"/>
    <xf numFmtId="4" fontId="46" fillId="0" borderId="0" xfId="0" applyNumberFormat="1" applyFont="1" applyAlignment="1">
      <alignment vertical="center"/>
    </xf>
    <xf numFmtId="164" fontId="7" fillId="17" borderId="1" xfId="3" applyFont="1" applyFill="1" applyBorder="1" applyAlignment="1">
      <alignment horizontal="center" vertical="center"/>
    </xf>
    <xf numFmtId="164" fontId="7" fillId="17" borderId="1" xfId="3" applyFont="1" applyFill="1" applyBorder="1" applyAlignment="1">
      <alignment vertical="center"/>
    </xf>
    <xf numFmtId="44" fontId="0" fillId="0" borderId="0" xfId="0" applyNumberFormat="1" applyAlignment="1">
      <alignment vertical="center"/>
    </xf>
    <xf numFmtId="0" fontId="21" fillId="11" borderId="65" xfId="4" applyFont="1" applyFill="1" applyBorder="1" applyAlignment="1">
      <alignment horizontal="left"/>
    </xf>
    <xf numFmtId="0" fontId="21" fillId="11" borderId="41" xfId="4" applyFont="1" applyFill="1" applyBorder="1" applyAlignment="1">
      <alignment horizontal="left"/>
    </xf>
    <xf numFmtId="0" fontId="21" fillId="11" borderId="66" xfId="4" applyFont="1" applyFill="1" applyBorder="1" applyAlignment="1">
      <alignment horizontal="left"/>
    </xf>
    <xf numFmtId="0" fontId="21" fillId="11" borderId="8" xfId="4" applyFont="1" applyFill="1" applyBorder="1" applyAlignment="1">
      <alignment horizontal="left"/>
    </xf>
    <xf numFmtId="0" fontId="21" fillId="11" borderId="9" xfId="4" applyFont="1" applyFill="1" applyBorder="1" applyAlignment="1">
      <alignment horizontal="left"/>
    </xf>
    <xf numFmtId="0" fontId="21" fillId="11" borderId="15" xfId="4" applyFont="1" applyFill="1" applyBorder="1" applyAlignment="1">
      <alignment horizontal="left"/>
    </xf>
    <xf numFmtId="164" fontId="5" fillId="8" borderId="16" xfId="3" applyFont="1" applyFill="1" applyBorder="1" applyAlignment="1">
      <alignment horizontal="left"/>
    </xf>
    <xf numFmtId="164" fontId="5" fillId="8" borderId="17" xfId="3" applyFont="1" applyFill="1" applyBorder="1" applyAlignment="1">
      <alignment horizontal="left"/>
    </xf>
    <xf numFmtId="164" fontId="5" fillId="8" borderId="18" xfId="3" applyFont="1" applyFill="1" applyBorder="1" applyAlignment="1">
      <alignment horizontal="left"/>
    </xf>
    <xf numFmtId="164" fontId="34" fillId="5" borderId="5" xfId="3" applyFont="1" applyFill="1" applyBorder="1" applyAlignment="1">
      <alignment horizontal="left" vertical="center"/>
    </xf>
    <xf numFmtId="164" fontId="34" fillId="5" borderId="6" xfId="3" applyFont="1" applyFill="1" applyBorder="1" applyAlignment="1">
      <alignment horizontal="left" vertical="center"/>
    </xf>
    <xf numFmtId="164" fontId="34" fillId="5" borderId="43" xfId="3" applyFont="1" applyFill="1" applyBorder="1" applyAlignment="1">
      <alignment horizontal="left" vertical="center"/>
    </xf>
    <xf numFmtId="164" fontId="34" fillId="5" borderId="16" xfId="3" applyFont="1" applyFill="1" applyBorder="1" applyAlignment="1">
      <alignment horizontal="left" vertical="center"/>
    </xf>
    <xf numFmtId="164" fontId="34" fillId="5" borderId="17" xfId="3" applyFont="1" applyFill="1" applyBorder="1" applyAlignment="1">
      <alignment horizontal="left" vertical="center"/>
    </xf>
    <xf numFmtId="164" fontId="34" fillId="5" borderId="5" xfId="3" applyFont="1" applyFill="1" applyBorder="1" applyAlignment="1">
      <alignment horizontal="center" vertical="center"/>
    </xf>
    <xf numFmtId="164" fontId="34" fillId="5" borderId="6" xfId="3" applyFont="1" applyFill="1" applyBorder="1" applyAlignment="1">
      <alignment horizontal="center" vertical="center"/>
    </xf>
    <xf numFmtId="164" fontId="34" fillId="5" borderId="43" xfId="3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4" fontId="35" fillId="0" borderId="0" xfId="0" applyNumberFormat="1" applyFont="1" applyAlignment="1">
      <alignment horizontal="justify" vertical="top" wrapText="1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164" fontId="4" fillId="0" borderId="14" xfId="3" applyFont="1" applyBorder="1" applyAlignment="1">
      <alignment horizontal="left" vertical="center"/>
    </xf>
    <xf numFmtId="164" fontId="4" fillId="0" borderId="9" xfId="3" applyFont="1" applyBorder="1" applyAlignment="1">
      <alignment horizontal="left" vertical="center"/>
    </xf>
    <xf numFmtId="0" fontId="18" fillId="8" borderId="25" xfId="0" applyFont="1" applyFill="1" applyBorder="1" applyAlignment="1">
      <alignment horizontal="center" vertical="center"/>
    </xf>
    <xf numFmtId="0" fontId="18" fillId="8" borderId="26" xfId="0" applyFont="1" applyFill="1" applyBorder="1" applyAlignment="1">
      <alignment horizontal="center" vertical="center"/>
    </xf>
    <xf numFmtId="0" fontId="18" fillId="8" borderId="27" xfId="0" applyFont="1" applyFill="1" applyBorder="1" applyAlignment="1">
      <alignment horizontal="center" vertical="center"/>
    </xf>
    <xf numFmtId="0" fontId="8" fillId="8" borderId="44" xfId="0" applyFont="1" applyFill="1" applyBorder="1" applyAlignment="1">
      <alignment horizontal="center" vertical="center"/>
    </xf>
    <xf numFmtId="0" fontId="8" fillId="8" borderId="42" xfId="0" applyFont="1" applyFill="1" applyBorder="1" applyAlignment="1">
      <alignment horizontal="center" vertical="center"/>
    </xf>
    <xf numFmtId="0" fontId="8" fillId="8" borderId="45" xfId="0" applyFont="1" applyFill="1" applyBorder="1" applyAlignment="1">
      <alignment horizontal="center" vertical="center"/>
    </xf>
    <xf numFmtId="164" fontId="4" fillId="0" borderId="5" xfId="3" applyFont="1" applyBorder="1" applyAlignment="1">
      <alignment horizontal="center" vertical="center"/>
    </xf>
    <xf numFmtId="164" fontId="4" fillId="0" borderId="6" xfId="3" applyFont="1" applyBorder="1" applyAlignment="1">
      <alignment horizontal="center" vertical="center"/>
    </xf>
    <xf numFmtId="164" fontId="4" fillId="0" borderId="43" xfId="3" applyFont="1" applyBorder="1" applyAlignment="1">
      <alignment horizontal="center" vertical="center"/>
    </xf>
    <xf numFmtId="164" fontId="5" fillId="8" borderId="5" xfId="3" applyFont="1" applyFill="1" applyBorder="1" applyAlignment="1">
      <alignment horizontal="center" vertical="center"/>
    </xf>
    <xf numFmtId="164" fontId="5" fillId="8" borderId="6" xfId="3" applyFont="1" applyFill="1" applyBorder="1" applyAlignment="1">
      <alignment horizontal="center" vertical="center"/>
    </xf>
    <xf numFmtId="164" fontId="5" fillId="8" borderId="7" xfId="3" applyFont="1" applyFill="1" applyBorder="1" applyAlignment="1">
      <alignment horizontal="center" vertical="center"/>
    </xf>
    <xf numFmtId="0" fontId="18" fillId="8" borderId="21" xfId="0" applyFont="1" applyFill="1" applyBorder="1" applyAlignment="1">
      <alignment horizontal="center" vertical="center"/>
    </xf>
    <xf numFmtId="0" fontId="18" fillId="8" borderId="22" xfId="0" applyFont="1" applyFill="1" applyBorder="1" applyAlignment="1">
      <alignment horizontal="center" vertical="center"/>
    </xf>
    <xf numFmtId="0" fontId="18" fillId="8" borderId="12" xfId="0" applyFont="1" applyFill="1" applyBorder="1" applyAlignment="1">
      <alignment horizontal="center" vertical="center"/>
    </xf>
    <xf numFmtId="0" fontId="18" fillId="10" borderId="19" xfId="0" applyFont="1" applyFill="1" applyBorder="1" applyAlignment="1">
      <alignment horizontal="center"/>
    </xf>
    <xf numFmtId="0" fontId="18" fillId="10" borderId="46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9" fontId="8" fillId="0" borderId="21" xfId="2" applyFont="1" applyBorder="1" applyAlignment="1">
      <alignment horizontal="center"/>
    </xf>
    <xf numFmtId="9" fontId="8" fillId="0" borderId="22" xfId="2" applyFont="1" applyBorder="1" applyAlignment="1">
      <alignment horizontal="center"/>
    </xf>
    <xf numFmtId="9" fontId="8" fillId="0" borderId="12" xfId="2" applyFont="1" applyBorder="1" applyAlignment="1">
      <alignment horizontal="center"/>
    </xf>
    <xf numFmtId="0" fontId="5" fillId="10" borderId="25" xfId="0" applyFont="1" applyFill="1" applyBorder="1" applyAlignment="1">
      <alignment horizontal="center" vertical="center"/>
    </xf>
    <xf numFmtId="0" fontId="5" fillId="10" borderId="26" xfId="0" applyFont="1" applyFill="1" applyBorder="1" applyAlignment="1">
      <alignment horizontal="center" vertical="center"/>
    </xf>
    <xf numFmtId="0" fontId="5" fillId="10" borderId="27" xfId="0" applyFont="1" applyFill="1" applyBorder="1" applyAlignment="1">
      <alignment horizontal="center" vertical="center"/>
    </xf>
    <xf numFmtId="0" fontId="5" fillId="10" borderId="5" xfId="0" applyFont="1" applyFill="1" applyBorder="1" applyAlignment="1">
      <alignment horizontal="center" vertical="center"/>
    </xf>
    <xf numFmtId="0" fontId="5" fillId="10" borderId="6" xfId="0" applyFont="1" applyFill="1" applyBorder="1" applyAlignment="1">
      <alignment horizontal="center" vertical="center"/>
    </xf>
    <xf numFmtId="0" fontId="18" fillId="10" borderId="21" xfId="0" applyFont="1" applyFill="1" applyBorder="1" applyAlignment="1">
      <alignment horizontal="center"/>
    </xf>
    <xf numFmtId="0" fontId="18" fillId="10" borderId="22" xfId="0" applyFont="1" applyFill="1" applyBorder="1" applyAlignment="1">
      <alignment horizontal="center"/>
    </xf>
    <xf numFmtId="0" fontId="18" fillId="10" borderId="12" xfId="0" applyFont="1" applyFill="1" applyBorder="1" applyAlignment="1">
      <alignment horizontal="center"/>
    </xf>
  </cellXfs>
  <cellStyles count="8">
    <cellStyle name="Hiperlink" xfId="1" builtinId="8"/>
    <cellStyle name="Moeda" xfId="7" builtinId="4"/>
    <cellStyle name="Moeda 2" xfId="6"/>
    <cellStyle name="Normal" xfId="0" builtinId="0"/>
    <cellStyle name="Normal 2" xfId="4"/>
    <cellStyle name="Normal 3" xfId="5"/>
    <cellStyle name="Porcentagem" xfId="2" builtinId="5"/>
    <cellStyle name="Vírgula" xfId="3" builtinId="3"/>
  </cellStyles>
  <dxfs count="7">
    <dxf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4</xdr:row>
      <xdr:rowOff>28575</xdr:rowOff>
    </xdr:from>
    <xdr:to>
      <xdr:col>0</xdr:col>
      <xdr:colOff>1419225</xdr:colOff>
      <xdr:row>6</xdr:row>
      <xdr:rowOff>66675</xdr:rowOff>
    </xdr:to>
    <xdr:pic>
      <xdr:nvPicPr>
        <xdr:cNvPr id="6506" name="Picture 2">
          <a:extLst>
            <a:ext uri="{FF2B5EF4-FFF2-40B4-BE49-F238E27FC236}">
              <a16:creationId xmlns="" xmlns:a16="http://schemas.microsoft.com/office/drawing/2014/main" id="{00000000-0008-0000-0600-00006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419100"/>
          <a:ext cx="12858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7</xdr:row>
      <xdr:rowOff>9525</xdr:rowOff>
    </xdr:from>
    <xdr:to>
      <xdr:col>0</xdr:col>
      <xdr:colOff>2124075</xdr:colOff>
      <xdr:row>9</xdr:row>
      <xdr:rowOff>57150</xdr:rowOff>
    </xdr:to>
    <xdr:pic>
      <xdr:nvPicPr>
        <xdr:cNvPr id="6507" name="Picture 1">
          <a:extLst>
            <a:ext uri="{FF2B5EF4-FFF2-40B4-BE49-F238E27FC236}">
              <a16:creationId xmlns="" xmlns:a16="http://schemas.microsoft.com/office/drawing/2014/main" id="{00000000-0008-0000-0600-00006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885825"/>
          <a:ext cx="20383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Natuur\Projetos\Munic%20Rondinha%20-%20TRef%20Coleta%20RSD\Etapa%201%20-%20Analise%20Melhor%20Alternativa\Op&#231;&#227;o%20E.5d%20-%20Cons&#243;rcio%20Trindade%20do%20Su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 CAGED"/>
      <sheetName val="0. BDI"/>
      <sheetName val="0. Quantidades"/>
      <sheetName val="0. TABELAS"/>
      <sheetName val="0. DIMENSIONAM"/>
      <sheetName val="1. Coleta Resíduos"/>
      <sheetName val="2.1. Triagem e Aterro"/>
      <sheetName val="2.2. Transporte e Aterro"/>
      <sheetName val="3. RESUMO"/>
      <sheetName val="4. ORÇAM SINTÉTICO"/>
      <sheetName val="9. Enc Sociais"/>
      <sheetName val="9. Depreciação"/>
      <sheetName val="9. Remuneração de capital"/>
    </sheetNames>
    <sheetDataSet>
      <sheetData sheetId="0" refreshError="1"/>
      <sheetData sheetId="1">
        <row r="7">
          <cell r="C7">
            <v>0.13750000000000001</v>
          </cell>
        </row>
        <row r="23">
          <cell r="B23">
            <v>0.27460000000000001</v>
          </cell>
        </row>
        <row r="37">
          <cell r="B37">
            <v>0.1497</v>
          </cell>
        </row>
      </sheetData>
      <sheetData sheetId="2">
        <row r="18">
          <cell r="E18">
            <v>0.32200000000000001</v>
          </cell>
        </row>
        <row r="22">
          <cell r="G22">
            <v>5518</v>
          </cell>
        </row>
      </sheetData>
      <sheetData sheetId="3">
        <row r="6">
          <cell r="C6">
            <v>1320</v>
          </cell>
        </row>
        <row r="9">
          <cell r="B9" t="str">
            <v>TABELAS DENSIDADE RESÍDUOS</v>
          </cell>
        </row>
        <row r="10">
          <cell r="B10" t="str">
            <v>Tipo Equipamento</v>
          </cell>
          <cell r="C10" t="str">
            <v>Densidade Resíduo (kg/m³)</v>
          </cell>
        </row>
        <row r="11">
          <cell r="B11" t="str">
            <v>Caçamba</v>
          </cell>
          <cell r="C11">
            <v>180</v>
          </cell>
        </row>
        <row r="12">
          <cell r="B12" t="str">
            <v>Compactador</v>
          </cell>
          <cell r="C12">
            <v>500</v>
          </cell>
        </row>
        <row r="13">
          <cell r="B13" t="str">
            <v>Gaiola</v>
          </cell>
          <cell r="C13">
            <v>180</v>
          </cell>
        </row>
        <row r="14">
          <cell r="B14" t="str">
            <v>Roll-On</v>
          </cell>
          <cell r="C14">
            <v>250</v>
          </cell>
        </row>
        <row r="15">
          <cell r="F15">
            <v>26</v>
          </cell>
        </row>
        <row r="18">
          <cell r="B18" t="str">
            <v>Limite de carga, em função do PBT, para veículos com compactadores (Tabela TCE) e caçambas (sem fonte de dados)</v>
          </cell>
        </row>
        <row r="19">
          <cell r="B19" t="str">
            <v>Coletor</v>
          </cell>
          <cell r="C19" t="str">
            <v>Capac em Volume (m³)</v>
          </cell>
          <cell r="D19" t="str">
            <v>Chassi
(tons.)</v>
          </cell>
          <cell r="E19" t="str">
            <v>Peso Equipto (tons.)</v>
          </cell>
          <cell r="F19" t="str">
            <v>Peso da Carga cheia (tons.)</v>
          </cell>
          <cell r="G19" t="str">
            <v>Peso Total Carregado (tons.)</v>
          </cell>
          <cell r="H19" t="str">
            <v>Limite PBT (tons.)</v>
          </cell>
          <cell r="I19" t="str">
            <v>Carga Max Admissível (tons.)</v>
          </cell>
          <cell r="J19" t="str">
            <v>Excesso de carga?</v>
          </cell>
        </row>
        <row r="20">
          <cell r="B20" t="str">
            <v>COMPACTADOR - Toco: PBT &lt; 16 t</v>
          </cell>
        </row>
        <row r="21">
          <cell r="B21" t="str">
            <v>Toco Compactador 8 m³</v>
          </cell>
          <cell r="C21">
            <v>8</v>
          </cell>
          <cell r="D21">
            <v>6</v>
          </cell>
          <cell r="E21">
            <v>3.7</v>
          </cell>
          <cell r="F21">
            <v>4</v>
          </cell>
          <cell r="G21">
            <v>13.7</v>
          </cell>
          <cell r="H21">
            <v>16</v>
          </cell>
          <cell r="I21">
            <v>6.3</v>
          </cell>
          <cell r="J21" t="str">
            <v>Não</v>
          </cell>
        </row>
        <row r="22">
          <cell r="B22" t="str">
            <v>Toco Compactador 10 m³</v>
          </cell>
          <cell r="C22">
            <v>10</v>
          </cell>
          <cell r="D22">
            <v>6</v>
          </cell>
          <cell r="E22">
            <v>4.7</v>
          </cell>
          <cell r="F22">
            <v>5</v>
          </cell>
          <cell r="G22">
            <v>15.7</v>
          </cell>
          <cell r="H22">
            <v>16</v>
          </cell>
          <cell r="I22">
            <v>5.3</v>
          </cell>
          <cell r="J22" t="str">
            <v>Não</v>
          </cell>
        </row>
        <row r="23">
          <cell r="B23" t="str">
            <v>Toco Compactador 12 m³</v>
          </cell>
          <cell r="C23">
            <v>12</v>
          </cell>
          <cell r="D23">
            <v>6</v>
          </cell>
          <cell r="E23">
            <v>4.8</v>
          </cell>
          <cell r="F23">
            <v>6</v>
          </cell>
          <cell r="G23">
            <v>16.8</v>
          </cell>
          <cell r="H23">
            <v>16</v>
          </cell>
          <cell r="I23">
            <v>5.2</v>
          </cell>
          <cell r="J23" t="str">
            <v>Sim</v>
          </cell>
        </row>
        <row r="24">
          <cell r="B24" t="str">
            <v>Toco Compactador 15 m³</v>
          </cell>
          <cell r="C24">
            <v>15</v>
          </cell>
          <cell r="D24">
            <v>6</v>
          </cell>
          <cell r="E24">
            <v>5</v>
          </cell>
          <cell r="F24">
            <v>7.5</v>
          </cell>
          <cell r="G24">
            <v>18.5</v>
          </cell>
          <cell r="H24">
            <v>16</v>
          </cell>
          <cell r="I24">
            <v>5</v>
          </cell>
          <cell r="J24" t="str">
            <v>Sim</v>
          </cell>
        </row>
        <row r="26">
          <cell r="B26" t="str">
            <v>COMPACTADOR - Truck: PBT &lt; 23 t</v>
          </cell>
        </row>
        <row r="27">
          <cell r="B27" t="str">
            <v>Truck Compactador 12 m³</v>
          </cell>
          <cell r="C27">
            <v>12</v>
          </cell>
          <cell r="D27">
            <v>7.5</v>
          </cell>
          <cell r="E27">
            <v>4.8</v>
          </cell>
          <cell r="F27">
            <v>6</v>
          </cell>
          <cell r="G27">
            <v>18.3</v>
          </cell>
          <cell r="H27">
            <v>23</v>
          </cell>
          <cell r="I27">
            <v>10.7</v>
          </cell>
          <cell r="J27" t="str">
            <v>Não</v>
          </cell>
        </row>
        <row r="28">
          <cell r="B28" t="str">
            <v>Truck Compactador 15 m³</v>
          </cell>
          <cell r="C28">
            <v>15</v>
          </cell>
          <cell r="D28">
            <v>7.5</v>
          </cell>
          <cell r="E28">
            <v>5</v>
          </cell>
          <cell r="F28">
            <v>7.5</v>
          </cell>
          <cell r="G28">
            <v>20</v>
          </cell>
          <cell r="H28">
            <v>23</v>
          </cell>
          <cell r="I28">
            <v>10.5</v>
          </cell>
          <cell r="J28" t="str">
            <v>Não</v>
          </cell>
        </row>
        <row r="29">
          <cell r="B29" t="str">
            <v>Truck Compactador 19 m³</v>
          </cell>
          <cell r="C29">
            <v>19</v>
          </cell>
          <cell r="D29">
            <v>7.5</v>
          </cell>
          <cell r="E29">
            <v>5.8</v>
          </cell>
          <cell r="F29">
            <v>9.5</v>
          </cell>
          <cell r="G29">
            <v>22.8</v>
          </cell>
          <cell r="H29">
            <v>23</v>
          </cell>
          <cell r="I29">
            <v>9.6999999999999993</v>
          </cell>
          <cell r="J29" t="str">
            <v>Não</v>
          </cell>
        </row>
        <row r="30">
          <cell r="B30" t="str">
            <v>Truck Compactador 21 m³</v>
          </cell>
          <cell r="C30">
            <v>21</v>
          </cell>
          <cell r="D30">
            <v>7.5</v>
          </cell>
          <cell r="E30">
            <v>6</v>
          </cell>
          <cell r="F30">
            <v>10.5</v>
          </cell>
          <cell r="G30">
            <v>24</v>
          </cell>
          <cell r="H30">
            <v>23</v>
          </cell>
          <cell r="I30">
            <v>9.5</v>
          </cell>
          <cell r="J30" t="str">
            <v>Sim</v>
          </cell>
        </row>
        <row r="32">
          <cell r="B32" t="str">
            <v>CAÇAMBA - Toco: PBT &lt; 16 t</v>
          </cell>
        </row>
        <row r="33">
          <cell r="B33" t="str">
            <v>Toco Caçamba 16 m³</v>
          </cell>
          <cell r="C33">
            <v>16</v>
          </cell>
          <cell r="D33">
            <v>6</v>
          </cell>
          <cell r="E33">
            <v>2.8</v>
          </cell>
          <cell r="F33">
            <v>2.9</v>
          </cell>
          <cell r="G33">
            <v>11.7</v>
          </cell>
          <cell r="H33">
            <v>16</v>
          </cell>
          <cell r="I33">
            <v>7.2</v>
          </cell>
          <cell r="J33" t="str">
            <v>Não</v>
          </cell>
        </row>
        <row r="34">
          <cell r="B34" t="str">
            <v>Toco Caçamba 20 m³</v>
          </cell>
          <cell r="C34">
            <v>20</v>
          </cell>
          <cell r="D34">
            <v>6</v>
          </cell>
          <cell r="E34">
            <v>3</v>
          </cell>
          <cell r="F34">
            <v>3.6</v>
          </cell>
          <cell r="G34">
            <v>12.6</v>
          </cell>
          <cell r="H34">
            <v>16</v>
          </cell>
          <cell r="I34">
            <v>7</v>
          </cell>
          <cell r="J34" t="str">
            <v>Não</v>
          </cell>
        </row>
        <row r="36">
          <cell r="B36" t="str">
            <v>CAÇAMBA - Truck: PBT &lt; 23 t</v>
          </cell>
        </row>
        <row r="37">
          <cell r="B37" t="str">
            <v>Truck Caçamba 20 m³</v>
          </cell>
          <cell r="C37">
            <v>20</v>
          </cell>
          <cell r="D37">
            <v>7.5</v>
          </cell>
          <cell r="E37">
            <v>3</v>
          </cell>
          <cell r="F37">
            <v>3.6</v>
          </cell>
          <cell r="G37">
            <v>14.1</v>
          </cell>
          <cell r="H37">
            <v>23</v>
          </cell>
          <cell r="I37">
            <v>12.5</v>
          </cell>
          <cell r="J37" t="str">
            <v>Não</v>
          </cell>
        </row>
        <row r="38">
          <cell r="B38" t="str">
            <v>Truck Caçamba 22 m³</v>
          </cell>
          <cell r="C38">
            <v>22</v>
          </cell>
          <cell r="D38">
            <v>7.5</v>
          </cell>
          <cell r="E38">
            <v>3.2</v>
          </cell>
          <cell r="F38">
            <v>4</v>
          </cell>
          <cell r="G38">
            <v>14.7</v>
          </cell>
          <cell r="H38">
            <v>23</v>
          </cell>
          <cell r="I38">
            <v>12.3</v>
          </cell>
          <cell r="J38" t="str">
            <v>Não</v>
          </cell>
        </row>
        <row r="39">
          <cell r="B39" t="str">
            <v>Truck Caçamba 26 m³</v>
          </cell>
          <cell r="C39">
            <v>26</v>
          </cell>
          <cell r="D39">
            <v>7.5</v>
          </cell>
          <cell r="E39">
            <v>4</v>
          </cell>
          <cell r="F39">
            <v>4.7</v>
          </cell>
          <cell r="G39">
            <v>16.2</v>
          </cell>
          <cell r="H39">
            <v>23</v>
          </cell>
          <cell r="I39">
            <v>11.5</v>
          </cell>
          <cell r="J39" t="str">
            <v>Não</v>
          </cell>
        </row>
        <row r="41">
          <cell r="B41" t="str">
            <v>Truck - ROLL-ON / OFF: PBT &lt; 23 t</v>
          </cell>
        </row>
        <row r="42">
          <cell r="B42" t="str">
            <v>Truck Roll-On 26 m³</v>
          </cell>
          <cell r="C42">
            <v>26</v>
          </cell>
          <cell r="D42">
            <v>7.5</v>
          </cell>
          <cell r="E42">
            <v>5</v>
          </cell>
          <cell r="F42">
            <v>4.7</v>
          </cell>
          <cell r="G42">
            <v>17.2</v>
          </cell>
          <cell r="H42">
            <v>23</v>
          </cell>
          <cell r="I42">
            <v>10.5</v>
          </cell>
          <cell r="J42" t="str">
            <v>Não</v>
          </cell>
        </row>
        <row r="45">
          <cell r="B45" t="str">
            <v>Carreta ROLL-ON: PBT &lt; ??? t</v>
          </cell>
        </row>
        <row r="55">
          <cell r="B55" t="str">
            <v>TABELA CONSUMO VEÍCULOS E MÁQUINAS</v>
          </cell>
        </row>
        <row r="56">
          <cell r="C56" t="str">
            <v>Operação =&gt;</v>
          </cell>
          <cell r="D56" t="str">
            <v>Coleta Orgânicos</v>
          </cell>
          <cell r="F56" t="str">
            <v>Coleta Recicláveis</v>
          </cell>
          <cell r="H56" t="str">
            <v>Triagem / Transbordo</v>
          </cell>
          <cell r="J56" t="str">
            <v>Destino final / Transporte</v>
          </cell>
          <cell r="L56" t="str">
            <v>Caminhão do Município</v>
          </cell>
        </row>
        <row r="57">
          <cell r="B57" t="str">
            <v>Se trocar veículo, rever dados:</v>
          </cell>
          <cell r="C57" t="str">
            <v>Veículo =&gt;</v>
          </cell>
          <cell r="D57" t="str">
            <v>Caminhão Toco Compactador 12 m³</v>
          </cell>
          <cell r="F57" t="str">
            <v>Caminhão Toco Caçamba 32 m³</v>
          </cell>
          <cell r="H57" t="str">
            <v>Carregadeira</v>
          </cell>
          <cell r="J57" t="str">
            <v>Truck Roll-On 26 m³</v>
          </cell>
          <cell r="L57" t="str">
            <v>Caminhão Ford F-14000 Caçamba</v>
          </cell>
        </row>
        <row r="58">
          <cell r="B58" t="str">
            <v>Item de consumo</v>
          </cell>
          <cell r="C58" t="str">
            <v>Unidade</v>
          </cell>
          <cell r="D58" t="str">
            <v>Consumo (und. indicada)</v>
          </cell>
          <cell r="E58" t="str">
            <v>Preço unitário (R$/Litro ou Kg)</v>
          </cell>
          <cell r="F58" t="str">
            <v>Consumo (und. indicada)</v>
          </cell>
          <cell r="G58" t="str">
            <v>Preço unitário (R$/Litro ou Kg)</v>
          </cell>
          <cell r="H58" t="str">
            <v>Consumo (und. indicada)</v>
          </cell>
          <cell r="I58" t="str">
            <v>Preço unitário (R$/Litro ou Kg)</v>
          </cell>
          <cell r="J58" t="str">
            <v>Consumo (und. indicada)</v>
          </cell>
          <cell r="K58" t="str">
            <v>Preço unitário (R$/Litro ou Kg)</v>
          </cell>
          <cell r="L58" t="str">
            <v>Consumo (und. indicada)</v>
          </cell>
          <cell r="M58" t="str">
            <v>Preço unitário (R$/Litro ou Kg)</v>
          </cell>
        </row>
        <row r="59">
          <cell r="B59" t="str">
            <v>Custo de óleo diesel</v>
          </cell>
          <cell r="C59" t="str">
            <v>km/L*</v>
          </cell>
          <cell r="D59">
            <v>2.5</v>
          </cell>
          <cell r="E59">
            <v>4.37</v>
          </cell>
          <cell r="F59">
            <v>2.2999999999999998</v>
          </cell>
          <cell r="G59">
            <v>4.37</v>
          </cell>
          <cell r="H59">
            <v>8</v>
          </cell>
          <cell r="I59">
            <v>4.37</v>
          </cell>
          <cell r="J59">
            <v>3</v>
          </cell>
          <cell r="K59">
            <v>4.37</v>
          </cell>
          <cell r="L59">
            <v>2.2999999999999998</v>
          </cell>
          <cell r="M59">
            <v>4.37</v>
          </cell>
        </row>
        <row r="60">
          <cell r="B60" t="str">
            <v>Custo de óleo do motor</v>
          </cell>
          <cell r="C60" t="str">
            <v>L/1.000 km</v>
          </cell>
          <cell r="D60">
            <v>4.91</v>
          </cell>
          <cell r="E60">
            <v>16.5</v>
          </cell>
          <cell r="F60">
            <v>4.91</v>
          </cell>
          <cell r="G60">
            <v>16.5</v>
          </cell>
          <cell r="H60">
            <v>6</v>
          </cell>
          <cell r="I60">
            <v>16.5</v>
          </cell>
          <cell r="J60">
            <v>1.22</v>
          </cell>
          <cell r="K60">
            <v>16.5</v>
          </cell>
          <cell r="L60">
            <v>4.91</v>
          </cell>
          <cell r="M60">
            <v>16.5</v>
          </cell>
        </row>
        <row r="61">
          <cell r="B61" t="str">
            <v>Custo de óleo da transmissão</v>
          </cell>
          <cell r="C61" t="str">
            <v>L/1.000 km</v>
          </cell>
          <cell r="D61">
            <v>0.73</v>
          </cell>
          <cell r="E61">
            <v>12.8</v>
          </cell>
          <cell r="F61">
            <v>0.73</v>
          </cell>
          <cell r="G61">
            <v>12.8</v>
          </cell>
          <cell r="H61">
            <v>12</v>
          </cell>
          <cell r="I61">
            <v>13.25</v>
          </cell>
          <cell r="J61">
            <v>0.44</v>
          </cell>
          <cell r="K61">
            <v>12.8</v>
          </cell>
          <cell r="L61">
            <v>0.73</v>
          </cell>
          <cell r="M61">
            <v>12.8</v>
          </cell>
        </row>
        <row r="62">
          <cell r="B62" t="str">
            <v>Custo de óleo hidráulico</v>
          </cell>
          <cell r="C62" t="str">
            <v>L/1.000 km</v>
          </cell>
          <cell r="D62">
            <v>3.67</v>
          </cell>
          <cell r="E62">
            <v>9.3000000000000007</v>
          </cell>
          <cell r="F62">
            <v>3.67</v>
          </cell>
          <cell r="G62">
            <v>9.3000000000000007</v>
          </cell>
          <cell r="H62">
            <v>18</v>
          </cell>
          <cell r="I62">
            <v>9.3000000000000007</v>
          </cell>
          <cell r="J62">
            <v>5.5</v>
          </cell>
          <cell r="K62">
            <v>9.3000000000000007</v>
          </cell>
          <cell r="L62">
            <v>3.67</v>
          </cell>
          <cell r="M62">
            <v>9.3000000000000007</v>
          </cell>
        </row>
        <row r="63">
          <cell r="B63" t="str">
            <v>Custo de graxa</v>
          </cell>
          <cell r="C63" t="str">
            <v>kg/1.000 km</v>
          </cell>
          <cell r="D63">
            <v>2</v>
          </cell>
          <cell r="E63">
            <v>21.64</v>
          </cell>
          <cell r="F63">
            <v>2</v>
          </cell>
          <cell r="G63">
            <v>21.64</v>
          </cell>
          <cell r="H63">
            <v>4</v>
          </cell>
          <cell r="I63">
            <v>21.64</v>
          </cell>
          <cell r="J63">
            <v>2</v>
          </cell>
          <cell r="K63">
            <v>21.64</v>
          </cell>
          <cell r="L63">
            <v>2</v>
          </cell>
          <cell r="M63">
            <v>21.64</v>
          </cell>
        </row>
        <row r="64">
          <cell r="B64" t="str">
            <v>Custo de manutenção dos veículos</v>
          </cell>
          <cell r="C64" t="str">
            <v>R$/km**</v>
          </cell>
          <cell r="D64" t="str">
            <v>–</v>
          </cell>
          <cell r="E64">
            <v>1.1000000000000001</v>
          </cell>
          <cell r="F64" t="str">
            <v>–</v>
          </cell>
          <cell r="G64">
            <v>1.1000000000000001</v>
          </cell>
          <cell r="H64" t="str">
            <v>–</v>
          </cell>
          <cell r="I64">
            <v>1.25</v>
          </cell>
          <cell r="J64" t="str">
            <v>–</v>
          </cell>
          <cell r="K64">
            <v>0.52</v>
          </cell>
          <cell r="L64" t="str">
            <v>–</v>
          </cell>
          <cell r="M64">
            <v>1.1000000000000001</v>
          </cell>
        </row>
        <row r="65">
          <cell r="B65" t="str">
            <v>Consumo de pneus:</v>
          </cell>
        </row>
        <row r="66">
          <cell r="B66" t="str">
            <v>Nº de pneus / veículo</v>
          </cell>
          <cell r="C66" t="str">
            <v>Unidade</v>
          </cell>
          <cell r="D66">
            <v>6</v>
          </cell>
          <cell r="F66">
            <v>6</v>
          </cell>
          <cell r="H66" t="str">
            <v>Preencher na própria planilha/tabela da Triagem</v>
          </cell>
          <cell r="J66">
            <v>22</v>
          </cell>
          <cell r="L66">
            <v>6</v>
          </cell>
        </row>
        <row r="67">
          <cell r="B67" t="str">
            <v>Dimensões do pneu</v>
          </cell>
          <cell r="C67" t="str">
            <v>–</v>
          </cell>
          <cell r="D67" t="str">
            <v>275/80 R22.5</v>
          </cell>
          <cell r="F67" t="str">
            <v>275/80 R22.5</v>
          </cell>
          <cell r="J67" t="str">
            <v>275/80 R22.5</v>
          </cell>
          <cell r="L67" t="str">
            <v>275/80 R22.5</v>
          </cell>
        </row>
        <row r="68">
          <cell r="B68" t="str">
            <v>Valor unitário aquisição pneu novo</v>
          </cell>
          <cell r="C68" t="str">
            <v>R$/unid.</v>
          </cell>
          <cell r="E68">
            <v>2190</v>
          </cell>
          <cell r="G68">
            <v>2190</v>
          </cell>
          <cell r="K68">
            <v>2190</v>
          </cell>
          <cell r="M68">
            <v>2190</v>
          </cell>
        </row>
        <row r="69">
          <cell r="B69" t="str">
            <v>Nº de recapagens por pneu</v>
          </cell>
          <cell r="C69" t="str">
            <v>Unidade</v>
          </cell>
          <cell r="D69">
            <v>1</v>
          </cell>
          <cell r="F69">
            <v>1</v>
          </cell>
          <cell r="J69">
            <v>1</v>
          </cell>
          <cell r="L69">
            <v>1</v>
          </cell>
        </row>
        <row r="70">
          <cell r="B70" t="str">
            <v>Custo unitário da recapagem</v>
          </cell>
          <cell r="C70" t="str">
            <v>R$/unid.</v>
          </cell>
          <cell r="E70">
            <v>790</v>
          </cell>
          <cell r="G70">
            <v>790</v>
          </cell>
          <cell r="K70">
            <v>790</v>
          </cell>
          <cell r="M70">
            <v>790</v>
          </cell>
        </row>
        <row r="71">
          <cell r="B71" t="str">
            <v>Rodagem total do jogo pneus + recap.</v>
          </cell>
          <cell r="C71" t="str">
            <v>km</v>
          </cell>
          <cell r="D71">
            <v>80000</v>
          </cell>
          <cell r="F71">
            <v>80000</v>
          </cell>
          <cell r="J71">
            <v>100000</v>
          </cell>
          <cell r="L71">
            <v>80000</v>
          </cell>
        </row>
        <row r="72">
          <cell r="B72" t="str">
            <v>Monitoramento da frota:</v>
          </cell>
        </row>
        <row r="73">
          <cell r="B73" t="str">
            <v>Instalação equipto. monitoramento</v>
          </cell>
          <cell r="C73" t="str">
            <v>R$/unid.</v>
          </cell>
          <cell r="E73">
            <v>350</v>
          </cell>
          <cell r="G73">
            <v>350</v>
          </cell>
          <cell r="H73">
            <v>0</v>
          </cell>
          <cell r="I73">
            <v>0</v>
          </cell>
          <cell r="K73">
            <v>350</v>
          </cell>
          <cell r="M73">
            <v>350</v>
          </cell>
        </row>
        <row r="74">
          <cell r="B74" t="str">
            <v>Manutenção equipto. monitoramento</v>
          </cell>
          <cell r="C74" t="str">
            <v>R$/mês</v>
          </cell>
          <cell r="E74">
            <v>150</v>
          </cell>
          <cell r="G74">
            <v>150</v>
          </cell>
          <cell r="H74">
            <v>0</v>
          </cell>
          <cell r="I74">
            <v>0</v>
          </cell>
          <cell r="K74">
            <v>150</v>
          </cell>
          <cell r="M74">
            <v>150</v>
          </cell>
        </row>
        <row r="79">
          <cell r="B79" t="str">
            <v>TABELA DE UNIFORMES E EPI'S POR CATEGORIA</v>
          </cell>
        </row>
        <row r="80">
          <cell r="B80" t="str">
            <v>Descrição</v>
          </cell>
          <cell r="C80" t="str">
            <v>Unidade</v>
          </cell>
          <cell r="D80" t="str">
            <v>Durabilidade (meses)</v>
          </cell>
          <cell r="E80" t="str">
            <v>Custo unitário</v>
          </cell>
        </row>
        <row r="81">
          <cell r="B81" t="str">
            <v>Jaqueta com reflexivo (NBR 15.292)</v>
          </cell>
          <cell r="C81" t="str">
            <v>unidade</v>
          </cell>
          <cell r="D81">
            <v>12</v>
          </cell>
          <cell r="E81">
            <v>294.5</v>
          </cell>
        </row>
        <row r="82">
          <cell r="B82" t="str">
            <v>Calça</v>
          </cell>
          <cell r="C82" t="str">
            <v>unidade</v>
          </cell>
          <cell r="D82">
            <v>3</v>
          </cell>
          <cell r="E82">
            <v>90</v>
          </cell>
        </row>
        <row r="83">
          <cell r="B83" t="str">
            <v>Camiseta</v>
          </cell>
          <cell r="C83" t="str">
            <v>unidade</v>
          </cell>
          <cell r="D83">
            <v>3</v>
          </cell>
          <cell r="E83">
            <v>49</v>
          </cell>
        </row>
        <row r="84">
          <cell r="B84" t="str">
            <v>Chapéu com proteção de pescoço</v>
          </cell>
          <cell r="C84" t="str">
            <v>unidade</v>
          </cell>
          <cell r="D84">
            <v>3</v>
          </cell>
          <cell r="E84">
            <v>18.899999999999999</v>
          </cell>
        </row>
        <row r="85">
          <cell r="B85" t="str">
            <v>Botina de segurança c/ palmilha aço</v>
          </cell>
          <cell r="C85" t="str">
            <v>par</v>
          </cell>
          <cell r="D85">
            <v>3</v>
          </cell>
          <cell r="E85">
            <v>129</v>
          </cell>
        </row>
        <row r="86">
          <cell r="B86" t="str">
            <v>Meia de algodão com cano alto</v>
          </cell>
          <cell r="C86" t="str">
            <v>par</v>
          </cell>
          <cell r="D86">
            <v>3</v>
          </cell>
          <cell r="E86">
            <v>12.9</v>
          </cell>
        </row>
        <row r="87">
          <cell r="B87" t="str">
            <v>Capa de chuva amarela com reflexivo</v>
          </cell>
          <cell r="C87" t="str">
            <v>unidade</v>
          </cell>
          <cell r="D87">
            <v>6</v>
          </cell>
          <cell r="E87">
            <v>219</v>
          </cell>
        </row>
        <row r="88">
          <cell r="B88" t="str">
            <v>Colete reflexivo</v>
          </cell>
          <cell r="C88" t="str">
            <v>unidade</v>
          </cell>
          <cell r="D88">
            <v>6</v>
          </cell>
          <cell r="E88">
            <v>39</v>
          </cell>
        </row>
        <row r="89">
          <cell r="B89" t="str">
            <v>Luva de proteção</v>
          </cell>
          <cell r="C89" t="str">
            <v>par</v>
          </cell>
          <cell r="D89">
            <v>1</v>
          </cell>
          <cell r="E89">
            <v>14</v>
          </cell>
        </row>
        <row r="90">
          <cell r="B90" t="str">
            <v>Protetor solar FPS 30</v>
          </cell>
          <cell r="C90" t="str">
            <v>frasco 120g</v>
          </cell>
          <cell r="D90">
            <v>2</v>
          </cell>
          <cell r="E90">
            <v>16.899999999999999</v>
          </cell>
        </row>
        <row r="91">
          <cell r="B91" t="str">
            <v>Higienização de uniformes e EPIs</v>
          </cell>
          <cell r="C91" t="str">
            <v>R$ mensal</v>
          </cell>
          <cell r="D91">
            <v>1</v>
          </cell>
          <cell r="E91">
            <v>260</v>
          </cell>
        </row>
        <row r="96">
          <cell r="B96" t="str">
            <v>TABELA FERRAMENTAS E MATERIAIS DE CONSUMO</v>
          </cell>
        </row>
        <row r="97">
          <cell r="B97" t="str">
            <v>Descrição</v>
          </cell>
          <cell r="C97" t="str">
            <v>Unidade</v>
          </cell>
          <cell r="D97" t="str">
            <v>Durabilidade (meses)</v>
          </cell>
          <cell r="E97" t="str">
            <v>Custo unitário</v>
          </cell>
        </row>
        <row r="98">
          <cell r="B98" t="str">
            <v>Recipiente térmico para água (5L)</v>
          </cell>
          <cell r="C98" t="str">
            <v>Unidade</v>
          </cell>
          <cell r="D98">
            <v>6</v>
          </cell>
          <cell r="E98">
            <v>49.9</v>
          </cell>
        </row>
        <row r="99">
          <cell r="B99" t="str">
            <v>Pá de Concha</v>
          </cell>
          <cell r="C99" t="str">
            <v>Unidade</v>
          </cell>
          <cell r="D99">
            <v>4</v>
          </cell>
          <cell r="E99">
            <v>39.9</v>
          </cell>
        </row>
        <row r="100">
          <cell r="B100" t="str">
            <v>Vassoura</v>
          </cell>
          <cell r="C100" t="str">
            <v>Unidade</v>
          </cell>
          <cell r="D100">
            <v>6</v>
          </cell>
          <cell r="E100">
            <v>21.9</v>
          </cell>
        </row>
        <row r="101">
          <cell r="B101" t="str">
            <v>Vassourão</v>
          </cell>
          <cell r="C101" t="str">
            <v>Unidade</v>
          </cell>
          <cell r="D101">
            <v>3</v>
          </cell>
          <cell r="E101">
            <v>29.9</v>
          </cell>
        </row>
        <row r="102">
          <cell r="B102" t="str">
            <v xml:space="preserve">Ferramentas </v>
          </cell>
          <cell r="C102" t="str">
            <v>Conjunto</v>
          </cell>
          <cell r="D102">
            <v>12</v>
          </cell>
          <cell r="E102">
            <v>150</v>
          </cell>
        </row>
        <row r="103">
          <cell r="B103" t="str">
            <v>Descrição</v>
          </cell>
          <cell r="C103" t="str">
            <v>Unidade</v>
          </cell>
          <cell r="D103" t="str">
            <v>Qtde consumo mensal</v>
          </cell>
          <cell r="E103" t="str">
            <v>Custo unitário</v>
          </cell>
        </row>
        <row r="104">
          <cell r="B104" t="str">
            <v xml:space="preserve">Arrame recozido para fardo </v>
          </cell>
          <cell r="C104" t="str">
            <v>Kg</v>
          </cell>
          <cell r="D104">
            <v>50</v>
          </cell>
          <cell r="E104">
            <v>13.9</v>
          </cell>
        </row>
        <row r="105">
          <cell r="B105" t="str">
            <v xml:space="preserve">Material de limpeza/controle de pragas </v>
          </cell>
          <cell r="C105" t="str">
            <v>Conjunto</v>
          </cell>
          <cell r="D105">
            <v>1</v>
          </cell>
          <cell r="E105">
            <v>190</v>
          </cell>
        </row>
      </sheetData>
      <sheetData sheetId="4" refreshError="1"/>
      <sheetData sheetId="5">
        <row r="4">
          <cell r="A4" t="str">
            <v>VALORES DA CONTRATADA - A LICITAR</v>
          </cell>
        </row>
        <row r="5">
          <cell r="A5" t="str">
            <v>Descrição do Item</v>
          </cell>
          <cell r="E5" t="str">
            <v>Custo (R$/mês)</v>
          </cell>
          <cell r="F5" t="str">
            <v>%</v>
          </cell>
        </row>
        <row r="6">
          <cell r="A6" t="str">
            <v>1. Mão-de-obra</v>
          </cell>
          <cell r="E6">
            <v>11302.69</v>
          </cell>
          <cell r="F6">
            <v>0.28989999999999999</v>
          </cell>
        </row>
        <row r="7">
          <cell r="A7" t="str">
            <v>1.1. Coletor de Resíduos</v>
          </cell>
          <cell r="E7">
            <v>6521.94</v>
          </cell>
          <cell r="F7">
            <v>0.1673</v>
          </cell>
        </row>
        <row r="8">
          <cell r="A8" t="str">
            <v>1.2. Motorista de Caminhão</v>
          </cell>
          <cell r="E8">
            <v>3753.94</v>
          </cell>
          <cell r="F8">
            <v>9.6299999999999997E-2</v>
          </cell>
        </row>
        <row r="9">
          <cell r="A9" t="str">
            <v>1.3. Vale Transporte</v>
          </cell>
          <cell r="E9">
            <v>0</v>
          </cell>
          <cell r="F9">
            <v>0</v>
          </cell>
        </row>
        <row r="10">
          <cell r="A10" t="str">
            <v>1.4. Vale-refeição (diário)</v>
          </cell>
          <cell r="E10">
            <v>784.08</v>
          </cell>
          <cell r="F10">
            <v>2.01E-2</v>
          </cell>
        </row>
        <row r="11">
          <cell r="A11" t="str">
            <v>1.5. Auxílio Alimentação (mensal)</v>
          </cell>
          <cell r="E11">
            <v>242.73</v>
          </cell>
          <cell r="F11">
            <v>6.1999999999999998E-3</v>
          </cell>
        </row>
        <row r="12">
          <cell r="A12" t="str">
            <v>2. Uniformes e Equipamentos de Proteção Individual</v>
          </cell>
          <cell r="E12">
            <v>1066.93</v>
          </cell>
          <cell r="F12">
            <v>2.7400000000000001E-2</v>
          </cell>
        </row>
        <row r="13">
          <cell r="A13" t="str">
            <v>3. Veículos e Equipamentos</v>
          </cell>
          <cell r="E13">
            <v>18198.43</v>
          </cell>
          <cell r="F13">
            <v>0.4667</v>
          </cell>
        </row>
        <row r="14">
          <cell r="A14" t="str">
            <v>3.1. Coleta Orgânicos - Veículo:  Caminhão Toco Compactador 12 m³</v>
          </cell>
          <cell r="E14">
            <v>12861.92</v>
          </cell>
          <cell r="F14">
            <v>0.32990000000000003</v>
          </cell>
        </row>
        <row r="15">
          <cell r="A15" t="str">
            <v>3.1.1. Depreciação</v>
          </cell>
          <cell r="E15">
            <v>2096.73</v>
          </cell>
          <cell r="F15">
            <v>5.3800000000000001E-2</v>
          </cell>
        </row>
        <row r="16">
          <cell r="A16" t="str">
            <v>3.1.2. Remuneração do Capital</v>
          </cell>
          <cell r="E16">
            <v>3125.78</v>
          </cell>
          <cell r="F16">
            <v>8.0199999999999994E-2</v>
          </cell>
        </row>
        <row r="17">
          <cell r="A17" t="str">
            <v>3.1.3. Impostos e Seguros</v>
          </cell>
          <cell r="E17">
            <v>250.94</v>
          </cell>
          <cell r="F17">
            <v>6.4000000000000003E-3</v>
          </cell>
        </row>
        <row r="18">
          <cell r="A18" t="str">
            <v>3.1.4. Consumos</v>
          </cell>
          <cell r="E18">
            <v>4313.75</v>
          </cell>
          <cell r="F18">
            <v>0.1106</v>
          </cell>
        </row>
        <row r="19">
          <cell r="A19" t="str">
            <v>3.1.5. Manutenção</v>
          </cell>
          <cell r="E19">
            <v>2484.35</v>
          </cell>
          <cell r="F19">
            <v>6.3700000000000007E-2</v>
          </cell>
        </row>
        <row r="20">
          <cell r="A20" t="str">
            <v>3.1.6. Pneus</v>
          </cell>
          <cell r="E20">
            <v>496.87</v>
          </cell>
          <cell r="F20">
            <v>1.2699999999999999E-2</v>
          </cell>
        </row>
        <row r="21">
          <cell r="A21" t="str">
            <v>3.1.7. Monitoramento da frota</v>
          </cell>
          <cell r="E21">
            <v>93.5</v>
          </cell>
          <cell r="F21">
            <v>2.3999999999999998E-3</v>
          </cell>
        </row>
        <row r="22">
          <cell r="A22" t="str">
            <v>3.2. Coleta Recicláveis - Veículo:  Caminhão Toco Caçamba 32 m³</v>
          </cell>
          <cell r="E22">
            <v>5336.51</v>
          </cell>
          <cell r="F22">
            <v>0.13689999999999999</v>
          </cell>
        </row>
        <row r="23">
          <cell r="A23" t="str">
            <v>3.2.1. Depreciação</v>
          </cell>
          <cell r="E23">
            <v>708</v>
          </cell>
          <cell r="F23">
            <v>1.8200000000000001E-2</v>
          </cell>
        </row>
        <row r="24">
          <cell r="A24" t="str">
            <v>3.2.2. Remuneração do Capital</v>
          </cell>
          <cell r="E24">
            <v>1055.47</v>
          </cell>
          <cell r="F24">
            <v>2.7099999999999999E-2</v>
          </cell>
        </row>
        <row r="25">
          <cell r="A25" t="str">
            <v>3.2.3. Impostos e Seguros</v>
          </cell>
          <cell r="E25">
            <v>87.45</v>
          </cell>
          <cell r="F25">
            <v>2.2000000000000001E-3</v>
          </cell>
        </row>
        <row r="26">
          <cell r="A26" t="str">
            <v>3.2.4. Consumos</v>
          </cell>
          <cell r="E26">
            <v>2104.5</v>
          </cell>
          <cell r="F26">
            <v>5.3999999999999999E-2</v>
          </cell>
        </row>
        <row r="27">
          <cell r="A27" t="str">
            <v>3.2.5. Manutenção</v>
          </cell>
          <cell r="E27">
            <v>1123.76</v>
          </cell>
          <cell r="F27">
            <v>2.8799999999999999E-2</v>
          </cell>
        </row>
        <row r="28">
          <cell r="A28" t="str">
            <v>3.2.6. Pneus</v>
          </cell>
          <cell r="E28">
            <v>224.75</v>
          </cell>
          <cell r="F28">
            <v>5.7999999999999996E-3</v>
          </cell>
        </row>
        <row r="29">
          <cell r="A29" t="str">
            <v>3.2.7. Monitoramento da frota</v>
          </cell>
          <cell r="E29">
            <v>32.58</v>
          </cell>
          <cell r="F29">
            <v>8.0000000000000004E-4</v>
          </cell>
        </row>
        <row r="30">
          <cell r="A30" t="str">
            <v>4. Ferramentas e Materiais de Consumo</v>
          </cell>
          <cell r="E30">
            <v>21.95</v>
          </cell>
          <cell r="F30">
            <v>5.9999999999999995E-4</v>
          </cell>
        </row>
        <row r="31">
          <cell r="A31" t="str">
            <v>5. Benefícios e Despesas Indiretas - BDI</v>
          </cell>
          <cell r="E31">
            <v>8400.01</v>
          </cell>
          <cell r="F31">
            <v>0.21540000000000001</v>
          </cell>
        </row>
        <row r="32">
          <cell r="A32" t="str">
            <v>PREÇO TOTAL MENSAL COM A COLETA DE RESÍDUOS ORGÂNICOS</v>
          </cell>
          <cell r="E32">
            <v>38990.01</v>
          </cell>
          <cell r="F32">
            <v>1</v>
          </cell>
        </row>
        <row r="34">
          <cell r="A34" t="str">
            <v>VALORES DESPESAS DA PREFEITURA - FORA DA LICITAÇÃO</v>
          </cell>
        </row>
        <row r="35">
          <cell r="A35" t="str">
            <v>1. Mão-de-obra do MUNICÍPIO</v>
          </cell>
          <cell r="E35">
            <v>0</v>
          </cell>
          <cell r="F35">
            <v>0</v>
          </cell>
        </row>
        <row r="36">
          <cell r="A36" t="str">
            <v>1.1. Motorista de Caminhão</v>
          </cell>
          <cell r="E36">
            <v>0</v>
          </cell>
          <cell r="F36">
            <v>0</v>
          </cell>
        </row>
        <row r="37">
          <cell r="A37" t="str">
            <v>1.2. Uniformes e EPI's para demais categorias</v>
          </cell>
          <cell r="E37">
            <v>0</v>
          </cell>
          <cell r="F37">
            <v>0</v>
          </cell>
        </row>
        <row r="38">
          <cell r="A38" t="str">
            <v>2. Veículo do MUNICÍPIO</v>
          </cell>
          <cell r="E38">
            <v>0</v>
          </cell>
          <cell r="F38">
            <v>0</v>
          </cell>
        </row>
        <row r="39">
          <cell r="A39" t="str">
            <v>2.1. Veículo:  Caminhão Ford F-14000 Caçamba</v>
          </cell>
          <cell r="E39">
            <v>0</v>
          </cell>
          <cell r="F39">
            <v>0</v>
          </cell>
        </row>
        <row r="40">
          <cell r="A40" t="str">
            <v>2.1.1. Depreciação</v>
          </cell>
          <cell r="E40">
            <v>0</v>
          </cell>
          <cell r="F40">
            <v>0</v>
          </cell>
        </row>
        <row r="41">
          <cell r="A41" t="str">
            <v>2.1.2. Remuneração do Capital</v>
          </cell>
          <cell r="E41">
            <v>0</v>
          </cell>
          <cell r="F41">
            <v>0</v>
          </cell>
        </row>
        <row r="42">
          <cell r="A42" t="str">
            <v>2.1.3. Impostos e Seguros</v>
          </cell>
          <cell r="E42">
            <v>0</v>
          </cell>
          <cell r="F42">
            <v>0</v>
          </cell>
        </row>
        <row r="43">
          <cell r="A43" t="str">
            <v>2.1.4. Consumos</v>
          </cell>
          <cell r="E43">
            <v>0</v>
          </cell>
          <cell r="F43">
            <v>0</v>
          </cell>
        </row>
        <row r="44">
          <cell r="A44" t="str">
            <v>2.1.5. Manutenção</v>
          </cell>
          <cell r="E44">
            <v>0</v>
          </cell>
          <cell r="F44">
            <v>0</v>
          </cell>
        </row>
        <row r="45">
          <cell r="A45" t="str">
            <v>2.1.6. Pneus</v>
          </cell>
          <cell r="E45">
            <v>0</v>
          </cell>
          <cell r="F45">
            <v>0</v>
          </cell>
        </row>
        <row r="46">
          <cell r="A46" t="str">
            <v>CUSTO TOTAL MENSAL COM A COLETA DE RESÍDUOS ORGÂNICOS (PREFEITURA)</v>
          </cell>
          <cell r="E46">
            <v>0</v>
          </cell>
          <cell r="F46">
            <v>0</v>
          </cell>
        </row>
        <row r="57">
          <cell r="C57">
            <v>1</v>
          </cell>
        </row>
        <row r="58">
          <cell r="C58">
            <v>1</v>
          </cell>
        </row>
        <row r="148">
          <cell r="A148" t="str">
            <v>Caminhão Toco Compactador 12 m³</v>
          </cell>
        </row>
        <row r="232">
          <cell r="A232" t="str">
            <v>Caminhão Toco Caçamba 32 m³</v>
          </cell>
        </row>
        <row r="374">
          <cell r="A374" t="str">
            <v>Caminhão Ford F-14000 Caçamba</v>
          </cell>
        </row>
      </sheetData>
      <sheetData sheetId="6">
        <row r="4">
          <cell r="A4" t="str">
            <v>VALORES DA CONTRATADA - A LICITAR</v>
          </cell>
        </row>
        <row r="5">
          <cell r="A5" t="str">
            <v>Descrição do Item</v>
          </cell>
          <cell r="E5" t="str">
            <v>Custo (R$/mês)</v>
          </cell>
          <cell r="F5" t="str">
            <v>%</v>
          </cell>
        </row>
        <row r="6">
          <cell r="A6" t="str">
            <v>1. Mão-de-obra</v>
          </cell>
          <cell r="E6">
            <v>0</v>
          </cell>
          <cell r="F6">
            <v>0</v>
          </cell>
        </row>
        <row r="7">
          <cell r="A7" t="str">
            <v>1.1. Reciclador de Resíduos Sólidos</v>
          </cell>
          <cell r="E7">
            <v>0</v>
          </cell>
          <cell r="F7">
            <v>0</v>
          </cell>
        </row>
        <row r="8">
          <cell r="A8" t="str">
            <v>1.2. Operador de Máquinas</v>
          </cell>
          <cell r="E8">
            <v>0</v>
          </cell>
          <cell r="F8">
            <v>0</v>
          </cell>
        </row>
        <row r="9">
          <cell r="A9" t="str">
            <v>1.3. Auxiliar de Serviços Gerais</v>
          </cell>
          <cell r="E9">
            <v>0</v>
          </cell>
          <cell r="F9">
            <v>0</v>
          </cell>
        </row>
        <row r="10">
          <cell r="A10" t="str">
            <v>1.4. Supervisor da Central de Triagem</v>
          </cell>
          <cell r="E10">
            <v>0</v>
          </cell>
          <cell r="F10">
            <v>0</v>
          </cell>
        </row>
        <row r="11">
          <cell r="A11" t="str">
            <v>1.5. Vale Transporte</v>
          </cell>
          <cell r="E11">
            <v>0</v>
          </cell>
          <cell r="F11">
            <v>0</v>
          </cell>
        </row>
        <row r="12">
          <cell r="A12" t="str">
            <v>1.6. Vale-refeição (diário)</v>
          </cell>
          <cell r="E12">
            <v>0</v>
          </cell>
          <cell r="F12">
            <v>0</v>
          </cell>
        </row>
        <row r="13">
          <cell r="A13" t="str">
            <v>1.7. Auxílio Alimentação (mensal)</v>
          </cell>
          <cell r="E13">
            <v>0</v>
          </cell>
          <cell r="F13">
            <v>0</v>
          </cell>
        </row>
        <row r="14">
          <cell r="A14" t="str">
            <v>2. Uniformes e Equipamentos de Proteção Individual</v>
          </cell>
          <cell r="E14">
            <v>0</v>
          </cell>
          <cell r="F14">
            <v>0</v>
          </cell>
        </row>
        <row r="15">
          <cell r="A15" t="str">
            <v>3. Veículos e Equipamentos</v>
          </cell>
          <cell r="E15">
            <v>0</v>
          </cell>
          <cell r="F15">
            <v>0</v>
          </cell>
        </row>
        <row r="16">
          <cell r="A16" t="str">
            <v>3.1. Veículo:  Carregadeira</v>
          </cell>
          <cell r="E16">
            <v>0</v>
          </cell>
          <cell r="F16">
            <v>0</v>
          </cell>
        </row>
        <row r="17">
          <cell r="A17" t="str">
            <v>3.1.1. Depreciação</v>
          </cell>
          <cell r="E17">
            <v>0</v>
          </cell>
          <cell r="F17">
            <v>0</v>
          </cell>
        </row>
        <row r="18">
          <cell r="A18" t="str">
            <v>3.1.2. Remuneração do Capital</v>
          </cell>
          <cell r="E18">
            <v>0</v>
          </cell>
          <cell r="F18">
            <v>0</v>
          </cell>
        </row>
        <row r="19">
          <cell r="A19" t="str">
            <v>3.1.3. Impostos e Seguros</v>
          </cell>
          <cell r="E19">
            <v>0</v>
          </cell>
          <cell r="F19">
            <v>0</v>
          </cell>
        </row>
        <row r="20">
          <cell r="A20" t="str">
            <v>3.1.4. Consumos</v>
          </cell>
          <cell r="E20">
            <v>0</v>
          </cell>
          <cell r="F20">
            <v>0</v>
          </cell>
        </row>
        <row r="21">
          <cell r="A21" t="str">
            <v>3.1.5. Manutenção</v>
          </cell>
          <cell r="E21">
            <v>0</v>
          </cell>
          <cell r="F21">
            <v>0</v>
          </cell>
        </row>
        <row r="22">
          <cell r="A22" t="str">
            <v>3.1.6. Pneus</v>
          </cell>
          <cell r="E22">
            <v>0</v>
          </cell>
          <cell r="F22">
            <v>0</v>
          </cell>
        </row>
        <row r="23">
          <cell r="A23" t="str">
            <v>4. Ferramentas e Materiais de Consumo</v>
          </cell>
          <cell r="E23">
            <v>0</v>
          </cell>
          <cell r="F23">
            <v>0</v>
          </cell>
        </row>
        <row r="24">
          <cell r="A24" t="str">
            <v>5. Monitoramento da Frota</v>
          </cell>
          <cell r="E24">
            <v>0</v>
          </cell>
          <cell r="F24">
            <v>0</v>
          </cell>
        </row>
        <row r="25">
          <cell r="A25" t="str">
            <v>6. Venda dos Materiais Recicláveis</v>
          </cell>
          <cell r="E25">
            <v>0</v>
          </cell>
          <cell r="F25">
            <v>0</v>
          </cell>
        </row>
        <row r="26">
          <cell r="A26" t="str">
            <v>7. Custos com Operação da Central de Triagem</v>
          </cell>
          <cell r="E26">
            <v>0</v>
          </cell>
          <cell r="F26">
            <v>0</v>
          </cell>
        </row>
        <row r="27">
          <cell r="A27" t="str">
            <v>7.1. Depreciação das Edificações</v>
          </cell>
          <cell r="E27">
            <v>0</v>
          </cell>
          <cell r="F27">
            <v>0</v>
          </cell>
        </row>
        <row r="28">
          <cell r="A28" t="str">
            <v>7.2. Depreciação dos Equipamentos</v>
          </cell>
          <cell r="E28">
            <v>0</v>
          </cell>
          <cell r="F28">
            <v>0</v>
          </cell>
        </row>
        <row r="29">
          <cell r="A29" t="str">
            <v>7.3. Remuneração do Capital</v>
          </cell>
          <cell r="E29">
            <v>0</v>
          </cell>
          <cell r="F29">
            <v>0</v>
          </cell>
        </row>
        <row r="30">
          <cell r="A30" t="str">
            <v>7.4. Despesas Operacionais Mensais</v>
          </cell>
          <cell r="E30">
            <v>0</v>
          </cell>
          <cell r="F30">
            <v>0</v>
          </cell>
        </row>
        <row r="31">
          <cell r="A31" t="str">
            <v>8. Benefícios e Despesas Indiretas - BDI</v>
          </cell>
          <cell r="E31">
            <v>0</v>
          </cell>
          <cell r="F31">
            <v>0</v>
          </cell>
        </row>
        <row r="32">
          <cell r="A32" t="str">
            <v>PREÇO TOTAL MENSAL COM A ESTAÇÃO DE TRANSBORDO E CENTRAL DE TRIAGEM</v>
          </cell>
          <cell r="E32">
            <v>0</v>
          </cell>
          <cell r="F32">
            <v>0</v>
          </cell>
        </row>
        <row r="34">
          <cell r="A34" t="str">
            <v>VALORES DESPESAS DA PREFEITURA - FORA DA LICITAÇÃO</v>
          </cell>
        </row>
        <row r="35">
          <cell r="A35" t="str">
            <v>1. Mão-de-obra</v>
          </cell>
          <cell r="E35">
            <v>0</v>
          </cell>
          <cell r="F35">
            <v>0</v>
          </cell>
        </row>
        <row r="36">
          <cell r="A36" t="str">
            <v>1.1. Operador de Máquinas</v>
          </cell>
          <cell r="E36">
            <v>0</v>
          </cell>
          <cell r="F36">
            <v>0</v>
          </cell>
        </row>
        <row r="37">
          <cell r="A37" t="str">
            <v>2.2. Uniformes e EPI's todas as categorias</v>
          </cell>
          <cell r="E37">
            <v>0</v>
          </cell>
          <cell r="F37">
            <v>0</v>
          </cell>
        </row>
        <row r="38">
          <cell r="A38" t="str">
            <v>2. Veículos e Equipamentos</v>
          </cell>
          <cell r="E38">
            <v>0</v>
          </cell>
          <cell r="F38">
            <v>0</v>
          </cell>
        </row>
        <row r="39">
          <cell r="A39" t="str">
            <v>2.1. Veículo:  Carregadeira</v>
          </cell>
          <cell r="E39">
            <v>0</v>
          </cell>
          <cell r="F39">
            <v>0</v>
          </cell>
        </row>
        <row r="40">
          <cell r="A40" t="str">
            <v>2.1.1. Depreciação</v>
          </cell>
          <cell r="E40">
            <v>0</v>
          </cell>
          <cell r="F40">
            <v>0</v>
          </cell>
        </row>
        <row r="41">
          <cell r="A41" t="str">
            <v>2.1.2. Remuneração do Capital</v>
          </cell>
          <cell r="E41">
            <v>0</v>
          </cell>
          <cell r="F41">
            <v>0</v>
          </cell>
        </row>
        <row r="42">
          <cell r="A42" t="str">
            <v>2.1.3. Impostos e Seguros</v>
          </cell>
          <cell r="E42">
            <v>0</v>
          </cell>
          <cell r="F42">
            <v>0</v>
          </cell>
        </row>
        <row r="43">
          <cell r="A43" t="str">
            <v>2.1.4. Consumos</v>
          </cell>
          <cell r="E43">
            <v>0</v>
          </cell>
          <cell r="F43">
            <v>0</v>
          </cell>
        </row>
        <row r="44">
          <cell r="A44" t="str">
            <v>2.1.5. Manutenção</v>
          </cell>
          <cell r="E44">
            <v>0</v>
          </cell>
          <cell r="F44">
            <v>0</v>
          </cell>
        </row>
        <row r="45">
          <cell r="A45" t="str">
            <v>2.1.6. Pneus</v>
          </cell>
          <cell r="E45">
            <v>0</v>
          </cell>
          <cell r="F45">
            <v>0</v>
          </cell>
        </row>
        <row r="46">
          <cell r="A46" t="str">
            <v>3. Edificações</v>
          </cell>
          <cell r="E46">
            <v>0</v>
          </cell>
          <cell r="F46">
            <v>0</v>
          </cell>
        </row>
        <row r="47">
          <cell r="A47" t="str">
            <v>3.1. Depreciação das Edificações</v>
          </cell>
          <cell r="E47">
            <v>0</v>
          </cell>
          <cell r="F47">
            <v>0</v>
          </cell>
        </row>
        <row r="48">
          <cell r="A48" t="str">
            <v>3.2. Depreciação dos Equipamentos</v>
          </cell>
          <cell r="E48">
            <v>0</v>
          </cell>
          <cell r="F48">
            <v>0</v>
          </cell>
        </row>
        <row r="49">
          <cell r="A49" t="str">
            <v>3.3. Remuneração do Capital</v>
          </cell>
          <cell r="E49">
            <v>0</v>
          </cell>
          <cell r="F49">
            <v>0</v>
          </cell>
        </row>
        <row r="50">
          <cell r="A50" t="str">
            <v>3.4. Custos com Operação da Central de Triagem</v>
          </cell>
          <cell r="E50">
            <v>0</v>
          </cell>
          <cell r="F50">
            <v>0</v>
          </cell>
        </row>
        <row r="51">
          <cell r="A51" t="str">
            <v>3.5. Despesas com Aluguéis da Central de Triagem</v>
          </cell>
          <cell r="E51">
            <v>0</v>
          </cell>
          <cell r="F51">
            <v>0</v>
          </cell>
        </row>
        <row r="52">
          <cell r="A52" t="str">
            <v>CUSTO TOTAL MENSAL COM A ESTAÇÃO DE TRANSBORDO E CENTRAL DE TRAIGEM (PREFEITURA)</v>
          </cell>
          <cell r="E52">
            <v>0</v>
          </cell>
          <cell r="F52">
            <v>0</v>
          </cell>
        </row>
        <row r="66">
          <cell r="D66">
            <v>1</v>
          </cell>
        </row>
      </sheetData>
      <sheetData sheetId="7">
        <row r="4">
          <cell r="A4" t="str">
            <v>VALORES DA CONTRATADA - A LICITAR</v>
          </cell>
        </row>
        <row r="5">
          <cell r="A5" t="str">
            <v>Descrição do Item</v>
          </cell>
          <cell r="E5" t="str">
            <v>Custo (R$/mês)</v>
          </cell>
          <cell r="F5" t="str">
            <v>%</v>
          </cell>
        </row>
        <row r="6">
          <cell r="A6" t="str">
            <v>1. Mão-de-obra</v>
          </cell>
          <cell r="E6">
            <v>0</v>
          </cell>
          <cell r="F6">
            <v>0</v>
          </cell>
        </row>
        <row r="7">
          <cell r="A7" t="str">
            <v>1.1. Motorista de Caminhão</v>
          </cell>
          <cell r="E7">
            <v>0</v>
          </cell>
          <cell r="F7">
            <v>0</v>
          </cell>
        </row>
        <row r="8">
          <cell r="A8" t="str">
            <v>1.2. Vale Transporte</v>
          </cell>
          <cell r="E8">
            <v>0</v>
          </cell>
          <cell r="F8">
            <v>0</v>
          </cell>
        </row>
        <row r="9">
          <cell r="A9" t="str">
            <v>1.3. Vale-refeição (diário)</v>
          </cell>
          <cell r="E9">
            <v>0</v>
          </cell>
          <cell r="F9">
            <v>0</v>
          </cell>
        </row>
        <row r="10">
          <cell r="A10" t="str">
            <v>1.4. Auxílio Alimentação (mensal)</v>
          </cell>
          <cell r="E10">
            <v>0</v>
          </cell>
          <cell r="F10">
            <v>0</v>
          </cell>
        </row>
        <row r="11">
          <cell r="A11" t="str">
            <v>2. Uniformes e Equipamentos de Proteção Individual</v>
          </cell>
          <cell r="E11">
            <v>0</v>
          </cell>
          <cell r="F11">
            <v>0</v>
          </cell>
        </row>
        <row r="12">
          <cell r="A12" t="str">
            <v>3. Veículos e Equipamentos</v>
          </cell>
          <cell r="E12">
            <v>0</v>
          </cell>
          <cell r="F12">
            <v>0</v>
          </cell>
        </row>
        <row r="13">
          <cell r="A13" t="str">
            <v xml:space="preserve">3.1. Veículo: </v>
          </cell>
          <cell r="E13">
            <v>0</v>
          </cell>
          <cell r="F13">
            <v>0</v>
          </cell>
        </row>
        <row r="14">
          <cell r="A14" t="str">
            <v>3.1.1. Depreciação</v>
          </cell>
          <cell r="E14">
            <v>0</v>
          </cell>
          <cell r="F14">
            <v>0</v>
          </cell>
        </row>
        <row r="15">
          <cell r="A15" t="str">
            <v>3.1.2. Remuneração do Capital</v>
          </cell>
          <cell r="E15">
            <v>0</v>
          </cell>
          <cell r="F15">
            <v>0</v>
          </cell>
        </row>
        <row r="16">
          <cell r="A16" t="str">
            <v>3.1.3. Impostos e Seguros</v>
          </cell>
          <cell r="E16">
            <v>0</v>
          </cell>
          <cell r="F16">
            <v>0</v>
          </cell>
        </row>
        <row r="17">
          <cell r="A17" t="str">
            <v>3.1.4. Consumos</v>
          </cell>
          <cell r="E17">
            <v>0</v>
          </cell>
          <cell r="F17">
            <v>0</v>
          </cell>
        </row>
        <row r="18">
          <cell r="A18" t="str">
            <v>3.1.5. Manutenção</v>
          </cell>
          <cell r="E18">
            <v>0</v>
          </cell>
          <cell r="F18">
            <v>0</v>
          </cell>
        </row>
        <row r="19">
          <cell r="A19" t="str">
            <v>3.1.6. Pneus</v>
          </cell>
          <cell r="E19">
            <v>0</v>
          </cell>
          <cell r="F19">
            <v>0</v>
          </cell>
        </row>
        <row r="20">
          <cell r="A20" t="str">
            <v>4. Ferramentas e Materiais de Consumo</v>
          </cell>
          <cell r="E20">
            <v>0</v>
          </cell>
          <cell r="F20">
            <v>0</v>
          </cell>
        </row>
        <row r="21">
          <cell r="A21" t="str">
            <v>5. Monitoramento da Frota</v>
          </cell>
          <cell r="E21">
            <v>0</v>
          </cell>
          <cell r="F21">
            <v>0</v>
          </cell>
        </row>
        <row r="22">
          <cell r="A22" t="str">
            <v>6. Disposição final no Aterro Sanitário</v>
          </cell>
          <cell r="E22">
            <v>0</v>
          </cell>
          <cell r="F22">
            <v>0</v>
          </cell>
        </row>
        <row r="23">
          <cell r="A23" t="str">
            <v>7. Benefícios e Despesas Indiretas - BDI</v>
          </cell>
          <cell r="E23">
            <v>0</v>
          </cell>
          <cell r="F23">
            <v>0</v>
          </cell>
        </row>
        <row r="24">
          <cell r="A24" t="str">
            <v>PREÇO TOTAL MENSAL COM O DESTINO FINAL</v>
          </cell>
          <cell r="E24">
            <v>0</v>
          </cell>
          <cell r="F24">
            <v>0</v>
          </cell>
        </row>
      </sheetData>
      <sheetData sheetId="8" refreshError="1"/>
      <sheetData sheetId="9" refreshError="1"/>
      <sheetData sheetId="10" refreshError="1"/>
      <sheetData sheetId="11">
        <row r="1">
          <cell r="A1" t="str">
            <v>5. Depreciação Referencial TCE/RS (%)</v>
          </cell>
        </row>
        <row r="2">
          <cell r="A2" t="str">
            <v>Idade do veículo (ano)</v>
          </cell>
          <cell r="B2" t="str">
            <v>Depreciação Média</v>
          </cell>
        </row>
        <row r="3">
          <cell r="A3">
            <v>1</v>
          </cell>
          <cell r="B3">
            <v>33.630000000000003</v>
          </cell>
        </row>
        <row r="4">
          <cell r="A4">
            <v>2</v>
          </cell>
          <cell r="B4">
            <v>43.13</v>
          </cell>
        </row>
        <row r="5">
          <cell r="A5">
            <v>3</v>
          </cell>
          <cell r="B5">
            <v>48.68</v>
          </cell>
        </row>
        <row r="6">
          <cell r="A6">
            <v>4</v>
          </cell>
          <cell r="B6">
            <v>52.62</v>
          </cell>
        </row>
        <row r="7">
          <cell r="A7">
            <v>5</v>
          </cell>
          <cell r="B7">
            <v>55.68</v>
          </cell>
        </row>
        <row r="8">
          <cell r="A8">
            <v>6</v>
          </cell>
          <cell r="B8">
            <v>58.18</v>
          </cell>
        </row>
        <row r="9">
          <cell r="A9">
            <v>7</v>
          </cell>
          <cell r="B9">
            <v>60.29</v>
          </cell>
        </row>
        <row r="10">
          <cell r="A10">
            <v>8</v>
          </cell>
          <cell r="B10">
            <v>62.12</v>
          </cell>
        </row>
        <row r="11">
          <cell r="A11">
            <v>9</v>
          </cell>
          <cell r="B11">
            <v>63.73</v>
          </cell>
        </row>
        <row r="12">
          <cell r="A12">
            <v>10</v>
          </cell>
          <cell r="B12">
            <v>65.180000000000007</v>
          </cell>
        </row>
        <row r="13">
          <cell r="A13">
            <v>11</v>
          </cell>
          <cell r="B13">
            <v>66.48</v>
          </cell>
        </row>
        <row r="14">
          <cell r="A14">
            <v>12</v>
          </cell>
          <cell r="B14">
            <v>67.67</v>
          </cell>
        </row>
        <row r="15">
          <cell r="A15">
            <v>13</v>
          </cell>
          <cell r="B15">
            <v>68.77</v>
          </cell>
        </row>
        <row r="16">
          <cell r="A16">
            <v>14</v>
          </cell>
          <cell r="B16">
            <v>69.790000000000006</v>
          </cell>
        </row>
        <row r="17">
          <cell r="A17">
            <v>15</v>
          </cell>
          <cell r="B17">
            <v>70.73</v>
          </cell>
        </row>
      </sheetData>
      <sheetData sheetId="12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P98"/>
  <sheetViews>
    <sheetView showGridLines="0" workbookViewId="0"/>
  </sheetViews>
  <sheetFormatPr defaultRowHeight="15" x14ac:dyDescent="0.2"/>
  <cols>
    <col min="1" max="1" width="3.7109375" style="262" customWidth="1"/>
    <col min="2" max="2" width="37.5703125" style="262" customWidth="1"/>
    <col min="3" max="9" width="18.85546875" style="262" customWidth="1"/>
    <col min="10" max="11" width="16" style="262" customWidth="1"/>
    <col min="12" max="12" width="18.5703125" style="262" customWidth="1"/>
    <col min="13" max="17" width="16" style="262" customWidth="1"/>
    <col min="18" max="16384" width="9.140625" style="262"/>
  </cols>
  <sheetData>
    <row r="1" spans="2:9" ht="20.25" x14ac:dyDescent="0.3">
      <c r="B1" s="478" t="s">
        <v>430</v>
      </c>
    </row>
    <row r="2" spans="2:9" s="9" customFormat="1" x14ac:dyDescent="0.2">
      <c r="B2" s="406" t="s">
        <v>432</v>
      </c>
      <c r="C2" s="407"/>
      <c r="D2" s="408"/>
      <c r="E2" s="408"/>
      <c r="F2" s="408"/>
      <c r="G2" s="10"/>
    </row>
    <row r="3" spans="2:9" s="9" customFormat="1" x14ac:dyDescent="0.2">
      <c r="B3" s="479" t="s">
        <v>431</v>
      </c>
      <c r="C3" s="407"/>
      <c r="D3" s="408"/>
      <c r="E3" s="408"/>
      <c r="F3" s="408"/>
      <c r="G3" s="10"/>
    </row>
    <row r="4" spans="2:9" ht="15.75" thickBot="1" x14ac:dyDescent="0.25"/>
    <row r="5" spans="2:9" ht="16.5" thickBot="1" x14ac:dyDescent="0.3">
      <c r="B5" s="339" t="s">
        <v>325</v>
      </c>
      <c r="C5" s="313"/>
      <c r="D5" s="313"/>
      <c r="E5" s="313"/>
      <c r="F5" s="313"/>
      <c r="G5" s="313"/>
      <c r="H5" s="313"/>
      <c r="I5" s="314"/>
    </row>
    <row r="6" spans="2:9" ht="17.25" customHeight="1" x14ac:dyDescent="0.2">
      <c r="B6" s="263"/>
      <c r="C6" s="264" t="s">
        <v>276</v>
      </c>
      <c r="D6" s="264" t="s">
        <v>277</v>
      </c>
      <c r="E6" s="264" t="s">
        <v>278</v>
      </c>
      <c r="F6" s="264" t="s">
        <v>279</v>
      </c>
      <c r="G6" s="264" t="s">
        <v>280</v>
      </c>
      <c r="H6" s="264" t="s">
        <v>281</v>
      </c>
      <c r="I6" s="265" t="s">
        <v>282</v>
      </c>
    </row>
    <row r="7" spans="2:9" ht="15.75" x14ac:dyDescent="0.2">
      <c r="B7" s="340" t="s">
        <v>385</v>
      </c>
      <c r="C7" s="415" t="s">
        <v>363</v>
      </c>
      <c r="D7" s="416" t="s">
        <v>364</v>
      </c>
      <c r="E7" s="415" t="s">
        <v>363</v>
      </c>
      <c r="F7" s="415" t="s">
        <v>363</v>
      </c>
      <c r="G7" s="416" t="s">
        <v>364</v>
      </c>
      <c r="H7" s="415" t="s">
        <v>363</v>
      </c>
      <c r="I7" s="266" t="s">
        <v>283</v>
      </c>
    </row>
    <row r="8" spans="2:9" ht="15.75" x14ac:dyDescent="0.2">
      <c r="B8" s="340" t="s">
        <v>387</v>
      </c>
      <c r="C8" s="486" t="s">
        <v>389</v>
      </c>
      <c r="D8" s="487"/>
      <c r="E8" s="487"/>
      <c r="F8" s="487"/>
      <c r="G8" s="487"/>
      <c r="H8" s="487"/>
      <c r="I8" s="488"/>
    </row>
    <row r="9" spans="2:9" ht="15.75" x14ac:dyDescent="0.2">
      <c r="B9" s="340" t="s">
        <v>388</v>
      </c>
      <c r="C9" s="486" t="s">
        <v>390</v>
      </c>
      <c r="D9" s="487"/>
      <c r="E9" s="487"/>
      <c r="F9" s="487"/>
      <c r="G9" s="487"/>
      <c r="H9" s="487"/>
      <c r="I9" s="488"/>
    </row>
    <row r="10" spans="2:9" ht="16.5" thickBot="1" x14ac:dyDescent="0.25">
      <c r="B10" s="341" t="s">
        <v>386</v>
      </c>
      <c r="C10" s="483" t="s">
        <v>391</v>
      </c>
      <c r="D10" s="484"/>
      <c r="E10" s="484"/>
      <c r="F10" s="484"/>
      <c r="G10" s="484"/>
      <c r="H10" s="484"/>
      <c r="I10" s="485"/>
    </row>
    <row r="11" spans="2:9" ht="16.5" thickBot="1" x14ac:dyDescent="0.3">
      <c r="B11" s="339" t="s">
        <v>324</v>
      </c>
      <c r="C11" s="313"/>
      <c r="D11" s="313"/>
      <c r="E11" s="314"/>
    </row>
    <row r="12" spans="2:9" x14ac:dyDescent="0.2">
      <c r="B12" s="294" t="s">
        <v>298</v>
      </c>
      <c r="C12" s="295"/>
      <c r="D12" s="296"/>
      <c r="E12" s="418">
        <v>4</v>
      </c>
    </row>
    <row r="13" spans="2:9" x14ac:dyDescent="0.2">
      <c r="B13" s="291" t="s">
        <v>365</v>
      </c>
      <c r="C13" s="297"/>
      <c r="D13" s="298"/>
      <c r="E13" s="417">
        <v>2</v>
      </c>
    </row>
    <row r="14" spans="2:9" ht="16.5" thickBot="1" x14ac:dyDescent="0.3">
      <c r="B14" s="335" t="s">
        <v>299</v>
      </c>
      <c r="C14" s="336"/>
      <c r="D14" s="337"/>
      <c r="E14" s="338">
        <f>SUM(E12:E13)</f>
        <v>6</v>
      </c>
    </row>
    <row r="16" spans="2:9" ht="15.75" thickBot="1" x14ac:dyDescent="0.25"/>
    <row r="17" spans="2:13" ht="16.5" thickBot="1" x14ac:dyDescent="0.3">
      <c r="B17" s="489" t="s">
        <v>339</v>
      </c>
      <c r="C17" s="490"/>
      <c r="D17" s="490"/>
      <c r="E17" s="490"/>
      <c r="F17" s="490"/>
      <c r="G17" s="490"/>
      <c r="H17" s="490"/>
      <c r="I17" s="490"/>
      <c r="J17" s="491"/>
    </row>
    <row r="18" spans="2:13" ht="16.5" customHeight="1" thickBot="1" x14ac:dyDescent="0.3">
      <c r="B18" s="315" t="s">
        <v>380</v>
      </c>
      <c r="C18" s="316"/>
      <c r="D18" s="316"/>
      <c r="E18" s="316"/>
      <c r="F18" s="316"/>
      <c r="G18" s="316"/>
      <c r="H18" s="316"/>
      <c r="I18" s="316"/>
      <c r="J18" s="317"/>
    </row>
    <row r="19" spans="2:13" ht="31.5" x14ac:dyDescent="0.25">
      <c r="B19" s="437" t="s">
        <v>377</v>
      </c>
      <c r="C19" s="267" t="s">
        <v>284</v>
      </c>
      <c r="D19" s="267" t="s">
        <v>285</v>
      </c>
      <c r="E19" s="267" t="s">
        <v>286</v>
      </c>
      <c r="F19" s="267" t="s">
        <v>287</v>
      </c>
      <c r="G19" s="267" t="s">
        <v>288</v>
      </c>
      <c r="H19" s="267" t="s">
        <v>289</v>
      </c>
      <c r="I19" s="267" t="s">
        <v>290</v>
      </c>
      <c r="J19" s="268" t="s">
        <v>291</v>
      </c>
    </row>
    <row r="20" spans="2:13" x14ac:dyDescent="0.2">
      <c r="B20" s="269" t="s">
        <v>308</v>
      </c>
      <c r="C20" s="304">
        <v>25.7</v>
      </c>
      <c r="D20" s="304">
        <v>7.5</v>
      </c>
      <c r="E20" s="270">
        <f>C20/D20</f>
        <v>3.4</v>
      </c>
      <c r="F20" s="303">
        <v>91</v>
      </c>
      <c r="G20" s="303">
        <v>50</v>
      </c>
      <c r="H20" s="270">
        <f>F20/G20</f>
        <v>1.8</v>
      </c>
      <c r="I20" s="304">
        <v>0.3</v>
      </c>
      <c r="J20" s="271">
        <f>E20+H20+I20</f>
        <v>5.5</v>
      </c>
    </row>
    <row r="21" spans="2:13" ht="16.5" thickBot="1" x14ac:dyDescent="0.3">
      <c r="B21" s="433" t="s">
        <v>292</v>
      </c>
      <c r="C21" s="434">
        <f>SUM(C20:C20)</f>
        <v>25.7</v>
      </c>
      <c r="D21" s="435"/>
      <c r="E21" s="434">
        <f>SUM(E20:E20)</f>
        <v>3.4</v>
      </c>
      <c r="F21" s="435">
        <f>SUM(F20:F20)</f>
        <v>91</v>
      </c>
      <c r="G21" s="435"/>
      <c r="H21" s="434">
        <f>SUM(H20:H20)</f>
        <v>1.8</v>
      </c>
      <c r="I21" s="434"/>
      <c r="J21" s="436">
        <f>SUM(J20:J20)</f>
        <v>5.5</v>
      </c>
      <c r="L21" s="444"/>
      <c r="M21" s="444"/>
    </row>
    <row r="22" spans="2:13" ht="31.5" x14ac:dyDescent="0.25">
      <c r="B22" s="437" t="s">
        <v>354</v>
      </c>
      <c r="C22" s="267" t="s">
        <v>284</v>
      </c>
      <c r="D22" s="267" t="s">
        <v>285</v>
      </c>
      <c r="E22" s="267" t="s">
        <v>286</v>
      </c>
      <c r="F22" s="267" t="s">
        <v>287</v>
      </c>
      <c r="G22" s="267" t="s">
        <v>429</v>
      </c>
      <c r="H22" s="430"/>
      <c r="I22" s="431"/>
      <c r="J22" s="432"/>
      <c r="L22" s="444"/>
      <c r="M22" s="444"/>
    </row>
    <row r="23" spans="2:13" ht="15.75" x14ac:dyDescent="0.25">
      <c r="B23" s="438" t="s">
        <v>353</v>
      </c>
      <c r="C23" s="439">
        <f>C20*DiasColetaPorSemana_Organicos*Semanas_Mes_Média</f>
        <v>446</v>
      </c>
      <c r="D23" s="431"/>
      <c r="E23" s="431"/>
      <c r="F23" s="440">
        <f>F20*DiasColetaPorSemana_Organicos*Semanas_Mes_Média</f>
        <v>1580</v>
      </c>
      <c r="G23" s="429">
        <f>C23+F23</f>
        <v>2026</v>
      </c>
      <c r="H23" s="430"/>
      <c r="I23" s="431"/>
      <c r="J23" s="432"/>
      <c r="L23" s="382" t="s">
        <v>312</v>
      </c>
      <c r="M23" s="383"/>
    </row>
    <row r="24" spans="2:13" ht="15.75" x14ac:dyDescent="0.25">
      <c r="B24" s="441" t="s">
        <v>366</v>
      </c>
      <c r="C24" s="442">
        <f>C20*DiasColetaPorSemana_Reciclaveis*Semanas_Mes_Média</f>
        <v>223</v>
      </c>
      <c r="D24" s="396"/>
      <c r="E24" s="396"/>
      <c r="F24" s="443">
        <f>F20*DiasColetaPorSemana_Reciclaveis*Semanas_Mes_Média</f>
        <v>790</v>
      </c>
      <c r="G24" s="394">
        <f>C24+F24</f>
        <v>1013</v>
      </c>
      <c r="H24" s="395"/>
      <c r="I24" s="396"/>
      <c r="J24" s="397"/>
      <c r="L24" s="308" t="s">
        <v>313</v>
      </c>
      <c r="M24" s="308" t="s">
        <v>300</v>
      </c>
    </row>
    <row r="25" spans="2:13" ht="16.5" thickBot="1" x14ac:dyDescent="0.3">
      <c r="B25" s="428" t="s">
        <v>376</v>
      </c>
      <c r="C25" s="404">
        <f>SUM(C23:C24)</f>
        <v>669</v>
      </c>
      <c r="D25" s="400"/>
      <c r="E25" s="401"/>
      <c r="F25" s="393">
        <f>SUM(F23:F24)</f>
        <v>2370</v>
      </c>
      <c r="G25" s="405">
        <f>SUM(G23:G24)</f>
        <v>3039</v>
      </c>
      <c r="H25" s="398"/>
      <c r="I25" s="374"/>
      <c r="J25" s="399"/>
      <c r="L25" s="309" t="s">
        <v>314</v>
      </c>
      <c r="M25" s="167">
        <v>365</v>
      </c>
    </row>
    <row r="26" spans="2:13" x14ac:dyDescent="0.2">
      <c r="B26" s="305" t="s">
        <v>357</v>
      </c>
      <c r="C26" s="306"/>
      <c r="D26" s="306"/>
      <c r="E26" s="306"/>
      <c r="F26" s="306"/>
      <c r="G26" s="306"/>
      <c r="H26" s="306"/>
      <c r="I26" s="306"/>
      <c r="J26" s="307"/>
      <c r="L26" s="309" t="s">
        <v>315</v>
      </c>
      <c r="M26" s="167">
        <v>7</v>
      </c>
    </row>
    <row r="27" spans="2:13" x14ac:dyDescent="0.2">
      <c r="B27" s="305" t="s">
        <v>309</v>
      </c>
      <c r="C27" s="306"/>
      <c r="D27" s="306"/>
      <c r="E27" s="306"/>
      <c r="F27" s="306"/>
      <c r="G27" s="306"/>
      <c r="H27" s="306"/>
      <c r="I27" s="306"/>
      <c r="J27" s="307"/>
      <c r="L27" s="309" t="s">
        <v>316</v>
      </c>
      <c r="M27" s="310">
        <f>M25/M26</f>
        <v>52.1</v>
      </c>
    </row>
    <row r="28" spans="2:13" x14ac:dyDescent="0.2">
      <c r="B28" s="305" t="s">
        <v>310</v>
      </c>
      <c r="C28" s="306"/>
      <c r="D28" s="306"/>
      <c r="E28" s="306"/>
      <c r="F28" s="306"/>
      <c r="G28" s="306"/>
      <c r="H28" s="306"/>
      <c r="I28" s="306"/>
      <c r="J28" s="307"/>
      <c r="L28" s="311" t="s">
        <v>317</v>
      </c>
      <c r="M28" s="312">
        <f>M27/12</f>
        <v>4.34</v>
      </c>
    </row>
    <row r="29" spans="2:13" x14ac:dyDescent="0.2">
      <c r="B29" s="305" t="s">
        <v>311</v>
      </c>
      <c r="C29" s="306"/>
      <c r="D29" s="306"/>
      <c r="E29" s="306"/>
      <c r="F29" s="306"/>
      <c r="G29" s="306"/>
      <c r="H29" s="306"/>
      <c r="I29" s="306"/>
      <c r="J29" s="307"/>
    </row>
    <row r="30" spans="2:13" ht="15.75" thickBot="1" x14ac:dyDescent="0.25">
      <c r="B30" s="280"/>
      <c r="C30" s="281"/>
      <c r="D30" s="281"/>
      <c r="E30" s="281"/>
      <c r="F30" s="281"/>
      <c r="G30" s="281"/>
      <c r="H30" s="281"/>
      <c r="I30" s="281"/>
      <c r="J30" s="282"/>
    </row>
    <row r="31" spans="2:13" ht="16.5" thickBot="1" x14ac:dyDescent="0.3">
      <c r="B31" s="315" t="s">
        <v>381</v>
      </c>
      <c r="C31" s="316"/>
      <c r="D31" s="316"/>
      <c r="E31" s="316"/>
      <c r="F31" s="316"/>
      <c r="G31" s="316"/>
      <c r="H31" s="316"/>
      <c r="I31" s="316"/>
      <c r="J31" s="317"/>
    </row>
    <row r="32" spans="2:13" ht="31.5" x14ac:dyDescent="0.25">
      <c r="B32" s="437" t="s">
        <v>354</v>
      </c>
      <c r="C32" s="267" t="s">
        <v>284</v>
      </c>
      <c r="D32" s="267" t="s">
        <v>285</v>
      </c>
      <c r="E32" s="267" t="s">
        <v>286</v>
      </c>
      <c r="F32" s="267" t="s">
        <v>287</v>
      </c>
      <c r="G32" s="267" t="s">
        <v>288</v>
      </c>
      <c r="H32" s="267" t="s">
        <v>289</v>
      </c>
      <c r="I32" s="267" t="s">
        <v>293</v>
      </c>
      <c r="J32" s="268" t="s">
        <v>291</v>
      </c>
    </row>
    <row r="33" spans="2:10" x14ac:dyDescent="0.2">
      <c r="B33" s="448" t="s">
        <v>392</v>
      </c>
      <c r="C33" s="445">
        <v>90.5</v>
      </c>
      <c r="D33" s="303">
        <v>30</v>
      </c>
      <c r="E33" s="270">
        <f>C33/D33</f>
        <v>3</v>
      </c>
      <c r="F33" s="303">
        <v>0</v>
      </c>
      <c r="G33" s="303">
        <v>50</v>
      </c>
      <c r="H33" s="270">
        <f>F33/G33</f>
        <v>0</v>
      </c>
      <c r="I33" s="304">
        <v>0</v>
      </c>
      <c r="J33" s="271">
        <f>E33+H33+I33</f>
        <v>3</v>
      </c>
    </row>
    <row r="34" spans="2:10" ht="15.75" customHeight="1" x14ac:dyDescent="0.2">
      <c r="B34" s="448" t="s">
        <v>393</v>
      </c>
      <c r="C34" s="445">
        <v>119.5</v>
      </c>
      <c r="D34" s="303">
        <v>40</v>
      </c>
      <c r="E34" s="270">
        <f>C34/D34</f>
        <v>3</v>
      </c>
      <c r="F34" s="303">
        <v>0</v>
      </c>
      <c r="G34" s="303">
        <v>50</v>
      </c>
      <c r="H34" s="270">
        <f>F34/G34</f>
        <v>0</v>
      </c>
      <c r="I34" s="304">
        <v>0</v>
      </c>
      <c r="J34" s="271">
        <f>E34+H34+I34</f>
        <v>3</v>
      </c>
    </row>
    <row r="35" spans="2:10" ht="15.75" x14ac:dyDescent="0.25">
      <c r="B35" s="272" t="s">
        <v>423</v>
      </c>
      <c r="C35" s="274">
        <f>SUM(C33:C34)</f>
        <v>210</v>
      </c>
      <c r="D35" s="273"/>
      <c r="E35" s="274">
        <f>SUM(E33:E34)</f>
        <v>6</v>
      </c>
      <c r="F35" s="273">
        <f>SUM(F33:F34)</f>
        <v>0</v>
      </c>
      <c r="G35" s="273"/>
      <c r="H35" s="274">
        <f>SUM(H33:H34)</f>
        <v>0</v>
      </c>
      <c r="I35" s="274"/>
      <c r="J35" s="275">
        <f>SUM(J33:J34)</f>
        <v>6</v>
      </c>
    </row>
    <row r="36" spans="2:10" ht="15.75" x14ac:dyDescent="0.25">
      <c r="B36" s="276" t="s">
        <v>295</v>
      </c>
      <c r="C36" s="277"/>
      <c r="D36" s="277"/>
      <c r="E36" s="278"/>
      <c r="F36" s="279">
        <f>(C35+F35)</f>
        <v>210</v>
      </c>
      <c r="G36" s="273" t="s">
        <v>283</v>
      </c>
      <c r="H36" s="274" t="s">
        <v>283</v>
      </c>
      <c r="I36" s="274" t="s">
        <v>283</v>
      </c>
      <c r="J36" s="275" t="s">
        <v>283</v>
      </c>
    </row>
    <row r="37" spans="2:10" x14ac:dyDescent="0.2">
      <c r="B37" s="449" t="s">
        <v>394</v>
      </c>
      <c r="C37" s="450"/>
      <c r="D37" s="450"/>
      <c r="E37" s="450"/>
      <c r="F37" s="450"/>
      <c r="G37" s="450"/>
      <c r="H37" s="450"/>
      <c r="I37" s="450"/>
      <c r="J37" s="451"/>
    </row>
    <row r="38" spans="2:10" x14ac:dyDescent="0.2">
      <c r="B38" s="305" t="s">
        <v>395</v>
      </c>
      <c r="C38" s="452"/>
      <c r="D38" s="452"/>
      <c r="E38" s="452"/>
      <c r="F38" s="452"/>
      <c r="G38" s="452"/>
      <c r="H38" s="452"/>
      <c r="I38" s="452"/>
      <c r="J38" s="453"/>
    </row>
    <row r="39" spans="2:10" x14ac:dyDescent="0.2">
      <c r="B39" s="305" t="s">
        <v>401</v>
      </c>
      <c r="C39" s="452"/>
      <c r="D39" s="452"/>
      <c r="E39" s="452"/>
      <c r="F39" s="452"/>
      <c r="G39" s="452"/>
      <c r="H39" s="452"/>
      <c r="I39" s="452"/>
      <c r="J39" s="453"/>
    </row>
    <row r="40" spans="2:10" x14ac:dyDescent="0.2">
      <c r="B40" s="305" t="s">
        <v>402</v>
      </c>
      <c r="C40" s="452"/>
      <c r="D40" s="452"/>
      <c r="E40" s="452"/>
      <c r="F40" s="452"/>
      <c r="G40" s="452"/>
      <c r="H40" s="452"/>
      <c r="I40" s="452"/>
      <c r="J40" s="453"/>
    </row>
    <row r="41" spans="2:10" x14ac:dyDescent="0.2">
      <c r="B41" s="305" t="s">
        <v>396</v>
      </c>
      <c r="C41" s="452"/>
      <c r="D41" s="452"/>
      <c r="E41" s="452"/>
      <c r="F41" s="452"/>
      <c r="G41" s="452"/>
      <c r="H41" s="452"/>
      <c r="I41" s="452"/>
      <c r="J41" s="453"/>
    </row>
    <row r="42" spans="2:10" x14ac:dyDescent="0.2">
      <c r="B42" s="305" t="s">
        <v>397</v>
      </c>
      <c r="C42" s="452"/>
      <c r="D42" s="452"/>
      <c r="E42" s="452"/>
      <c r="F42" s="452"/>
      <c r="G42" s="452"/>
      <c r="H42" s="452"/>
      <c r="I42" s="452"/>
      <c r="J42" s="453"/>
    </row>
    <row r="43" spans="2:10" x14ac:dyDescent="0.2">
      <c r="B43" s="305" t="s">
        <v>398</v>
      </c>
      <c r="C43" s="454"/>
      <c r="D43" s="454"/>
      <c r="E43" s="454"/>
      <c r="F43" s="454"/>
      <c r="G43" s="454"/>
      <c r="H43" s="454"/>
      <c r="I43" s="454"/>
      <c r="J43" s="453"/>
    </row>
    <row r="44" spans="2:10" x14ac:dyDescent="0.2">
      <c r="B44" s="305" t="s">
        <v>399</v>
      </c>
      <c r="C44" s="454"/>
      <c r="D44" s="454"/>
      <c r="E44" s="454"/>
      <c r="F44" s="454"/>
      <c r="G44" s="454"/>
      <c r="H44" s="454"/>
      <c r="I44" s="454"/>
      <c r="J44" s="453"/>
    </row>
    <row r="45" spans="2:10" x14ac:dyDescent="0.2">
      <c r="B45" s="305" t="s">
        <v>400</v>
      </c>
      <c r="C45" s="454"/>
      <c r="D45" s="454"/>
      <c r="E45" s="454"/>
      <c r="F45" s="454"/>
      <c r="G45" s="454"/>
      <c r="H45" s="454"/>
      <c r="I45" s="454"/>
      <c r="J45" s="453"/>
    </row>
    <row r="46" spans="2:10" ht="15.75" thickBot="1" x14ac:dyDescent="0.25">
      <c r="B46" s="455"/>
      <c r="C46" s="456"/>
      <c r="D46" s="456"/>
      <c r="E46" s="456"/>
      <c r="F46" s="456"/>
      <c r="G46" s="456"/>
      <c r="H46" s="456"/>
      <c r="I46" s="456"/>
      <c r="J46" s="457"/>
    </row>
    <row r="47" spans="2:10" ht="16.5" thickBot="1" x14ac:dyDescent="0.3">
      <c r="B47" s="315" t="s">
        <v>318</v>
      </c>
      <c r="C47" s="316"/>
      <c r="D47" s="316"/>
      <c r="E47" s="316"/>
      <c r="F47" s="316"/>
      <c r="G47" s="316"/>
      <c r="H47" s="316"/>
      <c r="I47" s="316"/>
      <c r="J47" s="317"/>
    </row>
    <row r="48" spans="2:10" ht="31.5" x14ac:dyDescent="0.25">
      <c r="B48" s="286" t="s">
        <v>296</v>
      </c>
      <c r="C48" s="287"/>
      <c r="D48" s="287"/>
      <c r="E48" s="267" t="s">
        <v>297</v>
      </c>
      <c r="F48" s="318"/>
      <c r="G48" s="288"/>
      <c r="H48" s="288"/>
      <c r="I48" s="288"/>
      <c r="J48" s="289"/>
    </row>
    <row r="49" spans="2:10" x14ac:dyDescent="0.2">
      <c r="B49" s="283" t="s">
        <v>319</v>
      </c>
      <c r="C49" s="284"/>
      <c r="D49" s="285"/>
      <c r="E49" s="303">
        <v>45</v>
      </c>
      <c r="F49" s="319"/>
      <c r="G49" s="320"/>
      <c r="H49" s="320"/>
      <c r="I49" s="320"/>
      <c r="J49" s="290"/>
    </row>
    <row r="50" spans="2:10" ht="15.75" customHeight="1" x14ac:dyDescent="0.2">
      <c r="B50" s="283" t="s">
        <v>320</v>
      </c>
      <c r="C50" s="284"/>
      <c r="D50" s="285"/>
      <c r="E50" s="303">
        <v>46</v>
      </c>
      <c r="F50" s="319"/>
      <c r="G50" s="320"/>
      <c r="H50" s="320"/>
      <c r="I50" s="320"/>
      <c r="J50" s="290"/>
    </row>
    <row r="51" spans="2:10" ht="16.5" thickBot="1" x14ac:dyDescent="0.3">
      <c r="B51" s="321" t="s">
        <v>321</v>
      </c>
      <c r="C51" s="322"/>
      <c r="D51" s="323"/>
      <c r="E51" s="324">
        <f>SUM(E49:E50)</f>
        <v>91</v>
      </c>
      <c r="F51" s="325"/>
      <c r="G51" s="292"/>
      <c r="H51" s="292"/>
      <c r="I51" s="292"/>
      <c r="J51" s="293"/>
    </row>
    <row r="52" spans="2:10" x14ac:dyDescent="0.2">
      <c r="B52" s="326" t="s">
        <v>322</v>
      </c>
      <c r="C52" s="327"/>
      <c r="D52" s="327"/>
      <c r="E52" s="327"/>
      <c r="F52" s="327"/>
      <c r="G52" s="327"/>
      <c r="H52" s="327"/>
      <c r="I52" s="327"/>
      <c r="J52" s="328"/>
    </row>
    <row r="53" spans="2:10" x14ac:dyDescent="0.2">
      <c r="B53" s="329" t="s">
        <v>323</v>
      </c>
      <c r="C53" s="330"/>
      <c r="D53" s="330"/>
      <c r="E53" s="330"/>
      <c r="F53" s="330"/>
      <c r="G53" s="330"/>
      <c r="H53" s="330"/>
      <c r="I53" s="330"/>
      <c r="J53" s="331"/>
    </row>
    <row r="54" spans="2:10" ht="15.75" thickBot="1" x14ac:dyDescent="0.25">
      <c r="B54" s="332"/>
      <c r="C54" s="333"/>
      <c r="D54" s="333"/>
      <c r="E54" s="333"/>
      <c r="F54" s="333"/>
      <c r="G54" s="333"/>
      <c r="H54" s="333"/>
      <c r="I54" s="333"/>
      <c r="J54" s="334"/>
    </row>
    <row r="55" spans="2:10" ht="16.5" thickBot="1" x14ac:dyDescent="0.3">
      <c r="B55" s="315" t="s">
        <v>382</v>
      </c>
      <c r="C55" s="316"/>
      <c r="D55" s="316"/>
      <c r="E55" s="316"/>
      <c r="F55" s="316"/>
      <c r="G55" s="316"/>
      <c r="H55" s="316"/>
      <c r="I55" s="316"/>
      <c r="J55" s="317"/>
    </row>
    <row r="56" spans="2:10" ht="31.5" x14ac:dyDescent="0.25">
      <c r="B56" s="437" t="s">
        <v>354</v>
      </c>
      <c r="C56" s="267" t="s">
        <v>284</v>
      </c>
      <c r="D56" s="267" t="s">
        <v>285</v>
      </c>
      <c r="E56" s="267" t="s">
        <v>286</v>
      </c>
      <c r="F56" s="267" t="s">
        <v>287</v>
      </c>
      <c r="G56" s="267" t="s">
        <v>288</v>
      </c>
      <c r="H56" s="267" t="s">
        <v>289</v>
      </c>
      <c r="I56" s="267" t="s">
        <v>293</v>
      </c>
      <c r="J56" s="268" t="s">
        <v>291</v>
      </c>
    </row>
    <row r="57" spans="2:10" x14ac:dyDescent="0.2">
      <c r="B57" s="448" t="s">
        <v>404</v>
      </c>
      <c r="C57" s="445">
        <v>44.1</v>
      </c>
      <c r="D57" s="303">
        <v>30</v>
      </c>
      <c r="E57" s="270">
        <f>C57/D57</f>
        <v>1.5</v>
      </c>
      <c r="F57" s="303">
        <v>0</v>
      </c>
      <c r="G57" s="303">
        <v>60</v>
      </c>
      <c r="H57" s="270">
        <f>F57/G57</f>
        <v>0</v>
      </c>
      <c r="I57" s="304">
        <v>0</v>
      </c>
      <c r="J57" s="271">
        <f>E57+H57+I57</f>
        <v>1.5</v>
      </c>
    </row>
    <row r="58" spans="2:10" ht="15.75" customHeight="1" x14ac:dyDescent="0.2">
      <c r="B58" s="269"/>
      <c r="C58" s="445"/>
      <c r="D58" s="303"/>
      <c r="E58" s="270"/>
      <c r="F58" s="303"/>
      <c r="G58" s="303"/>
      <c r="H58" s="270"/>
      <c r="I58" s="304"/>
      <c r="J58" s="271"/>
    </row>
    <row r="59" spans="2:10" ht="15.75" x14ac:dyDescent="0.25">
      <c r="B59" s="272" t="s">
        <v>294</v>
      </c>
      <c r="C59" s="274">
        <f>SUM(C57:C58)</f>
        <v>44.1</v>
      </c>
      <c r="D59" s="273"/>
      <c r="E59" s="274">
        <f>SUM(E57:E58)</f>
        <v>1.5</v>
      </c>
      <c r="F59" s="273">
        <f>SUM(F57:F58)</f>
        <v>0</v>
      </c>
      <c r="G59" s="273"/>
      <c r="H59" s="274">
        <f>SUM(H57:H58)</f>
        <v>0</v>
      </c>
      <c r="I59" s="274"/>
      <c r="J59" s="275">
        <f>SUM(J57:J58)</f>
        <v>1.5</v>
      </c>
    </row>
    <row r="60" spans="2:10" ht="15.75" x14ac:dyDescent="0.25">
      <c r="B60" s="276" t="s">
        <v>295</v>
      </c>
      <c r="C60" s="277"/>
      <c r="D60" s="277"/>
      <c r="E60" s="278"/>
      <c r="F60" s="279">
        <f>(C59+F59)*(Semanas_Mes_Média-2)</f>
        <v>103</v>
      </c>
      <c r="G60" s="273" t="s">
        <v>283</v>
      </c>
      <c r="H60" s="274" t="s">
        <v>283</v>
      </c>
      <c r="I60" s="274" t="s">
        <v>283</v>
      </c>
      <c r="J60" s="275" t="s">
        <v>283</v>
      </c>
    </row>
    <row r="61" spans="2:10" x14ac:dyDescent="0.2">
      <c r="B61" s="449" t="s">
        <v>405</v>
      </c>
      <c r="C61" s="450"/>
      <c r="D61" s="450"/>
      <c r="E61" s="450"/>
      <c r="F61" s="450"/>
      <c r="G61" s="450"/>
      <c r="H61" s="450"/>
      <c r="I61" s="450"/>
      <c r="J61" s="451"/>
    </row>
    <row r="62" spans="2:10" x14ac:dyDescent="0.2">
      <c r="B62" s="305" t="s">
        <v>403</v>
      </c>
      <c r="C62" s="452"/>
      <c r="D62" s="452"/>
      <c r="E62" s="452"/>
      <c r="F62" s="452"/>
      <c r="G62" s="452"/>
      <c r="H62" s="452"/>
      <c r="I62" s="452"/>
      <c r="J62" s="453"/>
    </row>
    <row r="63" spans="2:10" x14ac:dyDescent="0.2">
      <c r="B63" s="305" t="s">
        <v>406</v>
      </c>
      <c r="C63" s="452"/>
      <c r="D63" s="452"/>
      <c r="E63" s="452"/>
      <c r="F63" s="452"/>
      <c r="G63" s="452"/>
      <c r="H63" s="452"/>
      <c r="I63" s="452"/>
      <c r="J63" s="453"/>
    </row>
    <row r="64" spans="2:10" x14ac:dyDescent="0.2">
      <c r="B64" s="305" t="s">
        <v>397</v>
      </c>
      <c r="C64" s="452"/>
      <c r="D64" s="452"/>
      <c r="E64" s="452"/>
      <c r="F64" s="452"/>
      <c r="G64" s="452"/>
      <c r="H64" s="452"/>
      <c r="I64" s="452"/>
      <c r="J64" s="453"/>
    </row>
    <row r="65" spans="1:16" x14ac:dyDescent="0.2">
      <c r="B65" s="305" t="s">
        <v>398</v>
      </c>
      <c r="C65" s="454"/>
      <c r="D65" s="454"/>
      <c r="E65" s="454"/>
      <c r="F65" s="454"/>
      <c r="G65" s="454"/>
      <c r="H65" s="454"/>
      <c r="I65" s="454"/>
      <c r="J65" s="453"/>
    </row>
    <row r="66" spans="1:16" x14ac:dyDescent="0.2">
      <c r="B66" s="305" t="s">
        <v>399</v>
      </c>
      <c r="C66" s="454"/>
      <c r="D66" s="454"/>
      <c r="E66" s="454"/>
      <c r="F66" s="454"/>
      <c r="G66" s="454"/>
      <c r="H66" s="454"/>
      <c r="I66" s="454"/>
      <c r="J66" s="453"/>
    </row>
    <row r="67" spans="1:16" x14ac:dyDescent="0.2">
      <c r="B67" s="305" t="s">
        <v>400</v>
      </c>
      <c r="C67" s="454"/>
      <c r="D67" s="454"/>
      <c r="E67" s="454"/>
      <c r="F67" s="454"/>
      <c r="G67" s="454"/>
      <c r="H67" s="454"/>
      <c r="I67" s="454"/>
      <c r="J67" s="453"/>
    </row>
    <row r="68" spans="1:16" ht="15.75" thickBot="1" x14ac:dyDescent="0.25">
      <c r="B68" s="455"/>
      <c r="C68" s="456"/>
      <c r="D68" s="456"/>
      <c r="E68" s="456"/>
      <c r="F68" s="456"/>
      <c r="G68" s="456"/>
      <c r="H68" s="456"/>
      <c r="I68" s="456"/>
      <c r="J68" s="457"/>
    </row>
    <row r="70" spans="1:16" ht="15.75" thickBot="1" x14ac:dyDescent="0.25"/>
    <row r="71" spans="1:16" s="342" customFormat="1" ht="16.5" thickBot="1" x14ac:dyDescent="0.3">
      <c r="B71" s="345" t="s">
        <v>341</v>
      </c>
      <c r="C71" s="346"/>
      <c r="D71" s="346"/>
      <c r="E71" s="346"/>
      <c r="F71" s="346"/>
      <c r="G71" s="347"/>
    </row>
    <row r="72" spans="1:16" s="342" customFormat="1" ht="20.25" customHeight="1" x14ac:dyDescent="0.2">
      <c r="B72" s="348" t="s">
        <v>326</v>
      </c>
      <c r="C72" s="349"/>
      <c r="D72" s="349"/>
      <c r="E72" s="349"/>
      <c r="F72" s="349"/>
      <c r="G72" s="350"/>
    </row>
    <row r="73" spans="1:16" s="343" customFormat="1" ht="19.5" customHeight="1" x14ac:dyDescent="0.2">
      <c r="B73" s="500" t="s">
        <v>327</v>
      </c>
      <c r="C73" s="501"/>
      <c r="D73" s="458" t="s">
        <v>407</v>
      </c>
      <c r="E73" s="308" t="s">
        <v>328</v>
      </c>
      <c r="F73" s="308" t="s">
        <v>329</v>
      </c>
      <c r="G73" s="351" t="s">
        <v>330</v>
      </c>
      <c r="H73" s="342"/>
      <c r="I73" s="342"/>
      <c r="J73" s="342"/>
      <c r="K73" s="342"/>
    </row>
    <row r="74" spans="1:16" s="343" customFormat="1" ht="19.5" customHeight="1" x14ac:dyDescent="0.2">
      <c r="A74" s="342"/>
      <c r="B74" s="460" t="s">
        <v>408</v>
      </c>
      <c r="C74" s="461"/>
      <c r="D74" s="463" t="s">
        <v>409</v>
      </c>
      <c r="E74" s="462" t="s">
        <v>331</v>
      </c>
      <c r="F74" s="462" t="s">
        <v>332</v>
      </c>
      <c r="G74" s="459">
        <v>529740</v>
      </c>
      <c r="H74" s="342"/>
      <c r="I74" s="342"/>
      <c r="J74" s="342"/>
      <c r="K74" s="342"/>
      <c r="L74" s="342"/>
      <c r="M74" s="342"/>
      <c r="N74" s="342"/>
      <c r="O74" s="342"/>
      <c r="P74" s="342"/>
    </row>
    <row r="75" spans="1:16" s="342" customFormat="1" ht="19.5" customHeight="1" x14ac:dyDescent="0.2">
      <c r="A75" s="343"/>
      <c r="B75" s="460" t="s">
        <v>410</v>
      </c>
      <c r="C75" s="461"/>
      <c r="D75" s="463" t="s">
        <v>411</v>
      </c>
      <c r="E75" s="462" t="s">
        <v>333</v>
      </c>
      <c r="F75" s="462" t="s">
        <v>332</v>
      </c>
      <c r="G75" s="459">
        <v>512650</v>
      </c>
      <c r="L75" s="343"/>
      <c r="M75" s="343"/>
      <c r="N75" s="343"/>
      <c r="O75" s="343"/>
      <c r="P75" s="343"/>
    </row>
    <row r="76" spans="1:16" s="342" customFormat="1" ht="19.5" customHeight="1" x14ac:dyDescent="0.2">
      <c r="B76" s="460" t="s">
        <v>412</v>
      </c>
      <c r="C76" s="461"/>
      <c r="D76" s="463" t="s">
        <v>413</v>
      </c>
      <c r="E76" s="462" t="s">
        <v>334</v>
      </c>
      <c r="F76" s="462" t="s">
        <v>332</v>
      </c>
      <c r="G76" s="459">
        <v>574262</v>
      </c>
    </row>
    <row r="77" spans="1:16" s="342" customFormat="1" ht="19.5" customHeight="1" x14ac:dyDescent="0.2">
      <c r="B77" s="460" t="s">
        <v>335</v>
      </c>
      <c r="C77" s="461"/>
      <c r="D77" s="463" t="s">
        <v>414</v>
      </c>
      <c r="E77" s="462" t="s">
        <v>336</v>
      </c>
      <c r="F77" s="462" t="s">
        <v>332</v>
      </c>
      <c r="G77" s="459">
        <v>505472</v>
      </c>
    </row>
    <row r="78" spans="1:16" s="342" customFormat="1" ht="19.5" customHeight="1" thickBot="1" x14ac:dyDescent="0.25">
      <c r="B78" s="352" t="s">
        <v>337</v>
      </c>
      <c r="C78" s="353"/>
      <c r="D78" s="464"/>
      <c r="E78" s="354"/>
      <c r="F78" s="354"/>
      <c r="G78" s="355">
        <f>AVERAGE(G74:G77)</f>
        <v>530531</v>
      </c>
    </row>
    <row r="79" spans="1:16" s="342" customFormat="1" ht="20.25" customHeight="1" x14ac:dyDescent="0.2">
      <c r="B79" s="348" t="s">
        <v>338</v>
      </c>
      <c r="C79" s="349"/>
      <c r="D79" s="465"/>
      <c r="E79" s="349"/>
      <c r="F79" s="349"/>
      <c r="G79" s="350"/>
    </row>
    <row r="80" spans="1:16" s="343" customFormat="1" ht="19.5" customHeight="1" x14ac:dyDescent="0.2">
      <c r="B80" s="502" t="s">
        <v>327</v>
      </c>
      <c r="C80" s="503"/>
      <c r="D80" s="458" t="s">
        <v>407</v>
      </c>
      <c r="E80" s="344" t="s">
        <v>328</v>
      </c>
      <c r="F80" s="344" t="s">
        <v>329</v>
      </c>
      <c r="G80" s="351" t="s">
        <v>330</v>
      </c>
      <c r="H80" s="342"/>
      <c r="I80" s="342"/>
      <c r="J80" s="342"/>
      <c r="K80" s="342"/>
    </row>
    <row r="81" spans="2:10" s="342" customFormat="1" ht="19.5" customHeight="1" x14ac:dyDescent="0.2">
      <c r="B81" s="460" t="s">
        <v>415</v>
      </c>
      <c r="C81" s="461"/>
      <c r="D81" s="463" t="s">
        <v>416</v>
      </c>
      <c r="E81" s="462" t="s">
        <v>331</v>
      </c>
      <c r="F81" s="462" t="s">
        <v>332</v>
      </c>
      <c r="G81" s="459">
        <v>567160</v>
      </c>
    </row>
    <row r="82" spans="2:10" s="342" customFormat="1" ht="19.5" customHeight="1" x14ac:dyDescent="0.2">
      <c r="B82" s="460" t="s">
        <v>417</v>
      </c>
      <c r="C82" s="461"/>
      <c r="D82" s="463" t="s">
        <v>418</v>
      </c>
      <c r="E82" s="462" t="s">
        <v>336</v>
      </c>
      <c r="F82" s="462" t="s">
        <v>332</v>
      </c>
      <c r="G82" s="459">
        <v>598147</v>
      </c>
    </row>
    <row r="83" spans="2:10" s="342" customFormat="1" ht="19.5" customHeight="1" x14ac:dyDescent="0.2">
      <c r="B83" s="460" t="s">
        <v>419</v>
      </c>
      <c r="C83" s="461"/>
      <c r="D83" s="463" t="s">
        <v>420</v>
      </c>
      <c r="E83" s="462" t="s">
        <v>334</v>
      </c>
      <c r="F83" s="462" t="s">
        <v>332</v>
      </c>
      <c r="G83" s="459">
        <v>659133</v>
      </c>
    </row>
    <row r="84" spans="2:10" s="342" customFormat="1" ht="19.5" customHeight="1" x14ac:dyDescent="0.2">
      <c r="B84" s="460" t="s">
        <v>421</v>
      </c>
      <c r="C84" s="461"/>
      <c r="D84" s="463" t="s">
        <v>422</v>
      </c>
      <c r="E84" s="462" t="s">
        <v>333</v>
      </c>
      <c r="F84" s="462" t="s">
        <v>332</v>
      </c>
      <c r="G84" s="459">
        <v>670477</v>
      </c>
    </row>
    <row r="85" spans="2:10" s="342" customFormat="1" ht="19.5" customHeight="1" thickBot="1" x14ac:dyDescent="0.25">
      <c r="B85" s="352" t="s">
        <v>337</v>
      </c>
      <c r="C85" s="353"/>
      <c r="D85" s="464"/>
      <c r="E85" s="354"/>
      <c r="F85" s="354"/>
      <c r="G85" s="355">
        <f>AVERAGE(G81:G84)</f>
        <v>623729.25</v>
      </c>
    </row>
    <row r="86" spans="2:10" x14ac:dyDescent="0.2">
      <c r="B86" s="299" t="s">
        <v>340</v>
      </c>
      <c r="D86" s="466"/>
    </row>
    <row r="88" spans="2:10" ht="15.75" thickBot="1" x14ac:dyDescent="0.25"/>
    <row r="89" spans="2:10" ht="16.5" thickBot="1" x14ac:dyDescent="0.3">
      <c r="B89" s="345" t="s">
        <v>347</v>
      </c>
      <c r="C89" s="346"/>
      <c r="D89" s="346"/>
      <c r="E89" s="346"/>
      <c r="F89" s="346"/>
      <c r="G89" s="346"/>
      <c r="H89" s="346"/>
      <c r="I89" s="346"/>
      <c r="J89" s="347"/>
    </row>
    <row r="90" spans="2:10" ht="32.25" thickBot="1" x14ac:dyDescent="0.25">
      <c r="B90" s="497" t="s">
        <v>301</v>
      </c>
      <c r="C90" s="498"/>
      <c r="D90" s="499"/>
      <c r="E90" s="300" t="s">
        <v>302</v>
      </c>
      <c r="F90" s="300" t="s">
        <v>303</v>
      </c>
      <c r="G90" s="300" t="s">
        <v>304</v>
      </c>
      <c r="H90" s="300" t="s">
        <v>305</v>
      </c>
      <c r="I90" s="301" t="s">
        <v>306</v>
      </c>
      <c r="J90" s="302" t="s">
        <v>307</v>
      </c>
    </row>
    <row r="91" spans="2:10" ht="15.75" x14ac:dyDescent="0.2">
      <c r="B91" s="358" t="s">
        <v>424</v>
      </c>
      <c r="C91" s="359"/>
      <c r="D91" s="360"/>
      <c r="E91" s="361">
        <f>DiasColetaPorSemanaTOTAL</f>
        <v>6</v>
      </c>
      <c r="F91" s="356">
        <f>J21</f>
        <v>5.5</v>
      </c>
      <c r="G91" s="356" t="s">
        <v>283</v>
      </c>
      <c r="H91" s="357">
        <f>E91*F91</f>
        <v>33</v>
      </c>
      <c r="I91" s="409"/>
      <c r="J91" s="375">
        <f>E91 * Semanas_Mes_Média</f>
        <v>26</v>
      </c>
    </row>
    <row r="92" spans="2:10" ht="16.5" thickBot="1" x14ac:dyDescent="0.25">
      <c r="B92" s="369" t="s">
        <v>383</v>
      </c>
      <c r="C92" s="370"/>
      <c r="D92" s="371"/>
      <c r="E92" s="372" t="s">
        <v>283</v>
      </c>
      <c r="F92" s="373" t="s">
        <v>283</v>
      </c>
      <c r="G92" s="373">
        <f>J35</f>
        <v>6</v>
      </c>
      <c r="H92" s="467">
        <f>G92/Semanas_Mes_Média</f>
        <v>1.4</v>
      </c>
      <c r="I92" s="410"/>
      <c r="J92" s="376"/>
    </row>
    <row r="93" spans="2:10" ht="16.5" thickBot="1" x14ac:dyDescent="0.25">
      <c r="B93" s="369" t="s">
        <v>384</v>
      </c>
      <c r="C93" s="370"/>
      <c r="D93" s="371"/>
      <c r="E93" s="372" t="s">
        <v>283</v>
      </c>
      <c r="F93" s="373" t="s">
        <v>283</v>
      </c>
      <c r="G93" s="373">
        <f>J59*(Semanas_Mes_Média-2)</f>
        <v>3.5</v>
      </c>
      <c r="H93" s="467">
        <f>G93/Semanas_Mes_Média</f>
        <v>0.8</v>
      </c>
      <c r="I93" s="446"/>
      <c r="J93" s="468"/>
    </row>
    <row r="94" spans="2:10" ht="16.5" thickBot="1" x14ac:dyDescent="0.25">
      <c r="B94" s="495" t="s">
        <v>368</v>
      </c>
      <c r="C94" s="496"/>
      <c r="D94" s="496"/>
      <c r="E94" s="377"/>
      <c r="F94" s="377"/>
      <c r="G94" s="377"/>
      <c r="H94" s="378">
        <f>SUM(H91:H93)</f>
        <v>35.200000000000003</v>
      </c>
      <c r="I94" s="411">
        <f>H94/44</f>
        <v>0.8</v>
      </c>
      <c r="J94" s="379"/>
    </row>
    <row r="95" spans="2:10" ht="16.5" thickBot="1" x14ac:dyDescent="0.25">
      <c r="B95" s="492" t="s">
        <v>348</v>
      </c>
      <c r="C95" s="493"/>
      <c r="D95" s="494"/>
      <c r="E95" s="380"/>
      <c r="F95" s="380"/>
      <c r="G95" s="380"/>
      <c r="H95" s="380"/>
      <c r="I95" s="411">
        <f>I94</f>
        <v>0.8</v>
      </c>
      <c r="J95" s="379"/>
    </row>
    <row r="96" spans="2:10" x14ac:dyDescent="0.2">
      <c r="B96" s="326" t="s">
        <v>378</v>
      </c>
      <c r="C96" s="327"/>
      <c r="D96" s="327"/>
      <c r="E96" s="327"/>
      <c r="F96" s="327"/>
      <c r="G96" s="327"/>
      <c r="H96" s="327"/>
      <c r="I96" s="327"/>
      <c r="J96" s="328"/>
    </row>
    <row r="97" spans="2:10" x14ac:dyDescent="0.2">
      <c r="B97" s="329" t="s">
        <v>379</v>
      </c>
      <c r="C97" s="330"/>
      <c r="D97" s="330"/>
      <c r="E97" s="330"/>
      <c r="F97" s="330"/>
      <c r="G97" s="330"/>
      <c r="H97" s="330"/>
      <c r="I97" s="330"/>
      <c r="J97" s="331"/>
    </row>
    <row r="98" spans="2:10" ht="15.75" thickBot="1" x14ac:dyDescent="0.25">
      <c r="B98" s="332"/>
      <c r="C98" s="333"/>
      <c r="D98" s="333"/>
      <c r="E98" s="333"/>
      <c r="F98" s="333"/>
      <c r="G98" s="333"/>
      <c r="H98" s="333"/>
      <c r="I98" s="333"/>
      <c r="J98" s="334"/>
    </row>
  </sheetData>
  <mergeCells count="9">
    <mergeCell ref="C10:I10"/>
    <mergeCell ref="C9:I9"/>
    <mergeCell ref="C8:I8"/>
    <mergeCell ref="B17:J17"/>
    <mergeCell ref="B95:D95"/>
    <mergeCell ref="B94:D94"/>
    <mergeCell ref="B90:D90"/>
    <mergeCell ref="B73:C73"/>
    <mergeCell ref="B80:C80"/>
  </mergeCells>
  <conditionalFormatting sqref="J33:J34 J49:J50">
    <cfRule type="cellIs" dxfId="6" priority="10" operator="greaterThan">
      <formula>8</formula>
    </cfRule>
  </conditionalFormatting>
  <conditionalFormatting sqref="J20">
    <cfRule type="cellIs" dxfId="5" priority="9" operator="greaterThan">
      <formula>8</formula>
    </cfRule>
  </conditionalFormatting>
  <conditionalFormatting sqref="J21">
    <cfRule type="cellIs" dxfId="4" priority="7" operator="greaterThan">
      <formula>8</formula>
    </cfRule>
  </conditionalFormatting>
  <conditionalFormatting sqref="I49:I50">
    <cfRule type="cellIs" dxfId="3" priority="5" operator="greaterThan">
      <formula>8</formula>
    </cfRule>
  </conditionalFormatting>
  <conditionalFormatting sqref="F49:H50">
    <cfRule type="cellIs" dxfId="2" priority="4" operator="greaterThan">
      <formula>8</formula>
    </cfRule>
  </conditionalFormatting>
  <conditionalFormatting sqref="J57:J58">
    <cfRule type="cellIs" dxfId="1" priority="3" operator="greaterThan">
      <formula>8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286"/>
  <sheetViews>
    <sheetView showGridLines="0" tabSelected="1" zoomScaleNormal="100" zoomScaleSheetLayoutView="100" workbookViewId="0">
      <selection activeCell="A11" sqref="A11:F11"/>
    </sheetView>
  </sheetViews>
  <sheetFormatPr defaultRowHeight="12.75" x14ac:dyDescent="0.2"/>
  <cols>
    <col min="1" max="1" width="44.5703125" style="9" customWidth="1"/>
    <col min="2" max="2" width="16" style="9" bestFit="1" customWidth="1"/>
    <col min="3" max="3" width="11.85546875" style="9" customWidth="1"/>
    <col min="4" max="4" width="14.7109375" style="10" customWidth="1"/>
    <col min="5" max="5" width="15.42578125" style="10" customWidth="1"/>
    <col min="6" max="6" width="13.28515625" style="10" customWidth="1"/>
    <col min="7" max="7" width="15.140625" style="10" customWidth="1"/>
    <col min="8" max="8" width="16.5703125" style="9" customWidth="1"/>
    <col min="9" max="9" width="14.5703125" style="9" customWidth="1"/>
    <col min="10" max="10" width="13.42578125" style="9" customWidth="1"/>
    <col min="11" max="16384" width="9.140625" style="9"/>
  </cols>
  <sheetData>
    <row r="1" spans="1:7" ht="15.75" x14ac:dyDescent="0.2">
      <c r="A1" s="50" t="s">
        <v>186</v>
      </c>
    </row>
    <row r="2" spans="1:7" ht="15" x14ac:dyDescent="0.2">
      <c r="A2" s="479" t="s">
        <v>361</v>
      </c>
      <c r="B2" s="407"/>
      <c r="C2" s="407"/>
      <c r="D2" s="408"/>
      <c r="E2" s="408"/>
      <c r="F2" s="408"/>
    </row>
    <row r="3" spans="1:7" ht="15" x14ac:dyDescent="0.2">
      <c r="A3" s="406" t="s">
        <v>433</v>
      </c>
      <c r="B3" s="407"/>
      <c r="C3" s="407"/>
      <c r="D3" s="408"/>
      <c r="E3" s="408"/>
      <c r="F3" s="408"/>
    </row>
    <row r="4" spans="1:7" ht="15" customHeight="1" x14ac:dyDescent="0.2">
      <c r="A4" s="504" t="s">
        <v>362</v>
      </c>
      <c r="B4" s="504"/>
      <c r="C4" s="504"/>
      <c r="D4" s="504"/>
      <c r="E4" s="504"/>
      <c r="F4" s="504"/>
    </row>
    <row r="5" spans="1:7" s="4" customFormat="1" ht="15.6" customHeight="1" x14ac:dyDescent="0.2">
      <c r="A5" s="504"/>
      <c r="B5" s="504"/>
      <c r="C5" s="504"/>
      <c r="D5" s="504"/>
      <c r="E5" s="504"/>
      <c r="F5" s="504"/>
      <c r="G5" s="6"/>
    </row>
    <row r="6" spans="1:7" s="4" customFormat="1" ht="15.6" customHeight="1" x14ac:dyDescent="0.2">
      <c r="A6" s="504"/>
      <c r="B6" s="504"/>
      <c r="C6" s="504"/>
      <c r="D6" s="504"/>
      <c r="E6" s="504"/>
      <c r="F6" s="504"/>
      <c r="G6" s="6"/>
    </row>
    <row r="7" spans="1:7" s="4" customFormat="1" ht="15.6" customHeight="1" x14ac:dyDescent="0.2">
      <c r="A7" s="504"/>
      <c r="B7" s="504"/>
      <c r="C7" s="504"/>
      <c r="D7" s="504"/>
      <c r="E7" s="504"/>
      <c r="F7" s="504"/>
      <c r="G7" s="6"/>
    </row>
    <row r="8" spans="1:7" s="4" customFormat="1" ht="15.6" customHeight="1" x14ac:dyDescent="0.2">
      <c r="A8" s="504"/>
      <c r="B8" s="504"/>
      <c r="C8" s="504"/>
      <c r="D8" s="504"/>
      <c r="E8" s="504"/>
      <c r="F8" s="504"/>
      <c r="G8" s="6"/>
    </row>
    <row r="9" spans="1:7" s="4" customFormat="1" ht="15.6" customHeight="1" x14ac:dyDescent="0.2">
      <c r="A9" s="504"/>
      <c r="B9" s="504"/>
      <c r="C9" s="504"/>
      <c r="D9" s="504"/>
      <c r="E9" s="504"/>
      <c r="F9" s="504"/>
      <c r="G9" s="6"/>
    </row>
    <row r="10" spans="1:7" s="4" customFormat="1" ht="16.5" customHeight="1" thickBot="1" x14ac:dyDescent="0.25">
      <c r="A10" s="7"/>
      <c r="B10" s="5"/>
      <c r="C10" s="5"/>
      <c r="D10" s="6"/>
      <c r="E10" s="6"/>
      <c r="F10" s="6" t="s">
        <v>435</v>
      </c>
      <c r="G10" s="6"/>
    </row>
    <row r="11" spans="1:7" s="8" customFormat="1" ht="18" x14ac:dyDescent="0.2">
      <c r="A11" s="509" t="s">
        <v>198</v>
      </c>
      <c r="B11" s="510"/>
      <c r="C11" s="510"/>
      <c r="D11" s="510"/>
      <c r="E11" s="510"/>
      <c r="F11" s="511"/>
      <c r="G11" s="35"/>
    </row>
    <row r="12" spans="1:7" s="8" customFormat="1" ht="21.75" customHeight="1" x14ac:dyDescent="0.2">
      <c r="A12" s="512" t="s">
        <v>36</v>
      </c>
      <c r="B12" s="513"/>
      <c r="C12" s="513"/>
      <c r="D12" s="513"/>
      <c r="E12" s="513"/>
      <c r="F12" s="514"/>
      <c r="G12" s="35"/>
    </row>
    <row r="13" spans="1:7" s="4" customFormat="1" ht="10.9" customHeight="1" thickBot="1" x14ac:dyDescent="0.25">
      <c r="A13" s="120"/>
      <c r="B13" s="5"/>
      <c r="C13" s="5"/>
      <c r="D13" s="121"/>
      <c r="E13" s="121"/>
      <c r="F13" s="122"/>
      <c r="G13" s="6"/>
    </row>
    <row r="14" spans="1:7" s="4" customFormat="1" ht="15.75" customHeight="1" thickBot="1" x14ac:dyDescent="0.25">
      <c r="A14" s="518" t="s">
        <v>185</v>
      </c>
      <c r="B14" s="519"/>
      <c r="C14" s="519"/>
      <c r="D14" s="519"/>
      <c r="E14" s="519"/>
      <c r="F14" s="520"/>
      <c r="G14" s="6"/>
    </row>
    <row r="15" spans="1:7" s="4" customFormat="1" ht="15.75" customHeight="1" x14ac:dyDescent="0.2">
      <c r="A15" s="57" t="s">
        <v>184</v>
      </c>
      <c r="B15" s="38"/>
      <c r="C15" s="38"/>
      <c r="D15" s="196"/>
      <c r="E15" s="95" t="s">
        <v>31</v>
      </c>
      <c r="F15" s="39" t="s">
        <v>1</v>
      </c>
      <c r="G15" s="6"/>
    </row>
    <row r="16" spans="1:7" s="11" customFormat="1" ht="15.75" customHeight="1" x14ac:dyDescent="0.2">
      <c r="A16" s="103" t="str">
        <f>A50</f>
        <v>1. Mão-de-obra</v>
      </c>
      <c r="B16" s="104"/>
      <c r="C16" s="105"/>
      <c r="D16" s="105"/>
      <c r="E16" s="385">
        <f>SUM(E17:E21)</f>
        <v>15768.41</v>
      </c>
      <c r="F16" s="389">
        <f t="shared" ref="F16:F33" si="0">IFERROR(E16/$E$34,0)</f>
        <v>0.34150000000000003</v>
      </c>
      <c r="G16" s="42"/>
    </row>
    <row r="17" spans="1:8" s="4" customFormat="1" ht="15.75" customHeight="1" x14ac:dyDescent="0.2">
      <c r="A17" s="362" t="str">
        <f>A52</f>
        <v>1.1. Coletor de Resíduos Sólidos</v>
      </c>
      <c r="B17" s="43"/>
      <c r="C17" s="45"/>
      <c r="D17" s="45"/>
      <c r="E17" s="386">
        <f>F63</f>
        <v>10619.22</v>
      </c>
      <c r="F17" s="390">
        <f t="shared" si="0"/>
        <v>0.23</v>
      </c>
      <c r="G17" s="6"/>
      <c r="H17" s="482"/>
    </row>
    <row r="18" spans="1:8" s="4" customFormat="1" ht="15.75" customHeight="1" x14ac:dyDescent="0.2">
      <c r="A18" s="362" t="str">
        <f>A65</f>
        <v>1.2. Motorista de Caminhão</v>
      </c>
      <c r="B18" s="43"/>
      <c r="C18" s="45"/>
      <c r="D18" s="45"/>
      <c r="E18" s="386">
        <f>F78</f>
        <v>4167.88</v>
      </c>
      <c r="F18" s="390">
        <f t="shared" si="0"/>
        <v>9.0300000000000005E-2</v>
      </c>
      <c r="G18" s="6"/>
      <c r="H18" s="482"/>
    </row>
    <row r="19" spans="1:8" s="4" customFormat="1" ht="15.75" customHeight="1" x14ac:dyDescent="0.2">
      <c r="A19" s="362" t="str">
        <f>A81</f>
        <v>1.3. Vale Transporte</v>
      </c>
      <c r="B19" s="43"/>
      <c r="C19" s="45"/>
      <c r="D19" s="45"/>
      <c r="E19" s="386">
        <f>F87</f>
        <v>0</v>
      </c>
      <c r="F19" s="390">
        <f t="shared" si="0"/>
        <v>0</v>
      </c>
      <c r="G19" s="6"/>
      <c r="H19" s="482"/>
    </row>
    <row r="20" spans="1:8" s="4" customFormat="1" ht="15.75" customHeight="1" x14ac:dyDescent="0.2">
      <c r="A20" s="362" t="str">
        <f>A89</f>
        <v>1.4. Vale-refeição (diário)</v>
      </c>
      <c r="B20" s="43"/>
      <c r="C20" s="45"/>
      <c r="D20" s="45"/>
      <c r="E20" s="386">
        <f>F93</f>
        <v>741.31</v>
      </c>
      <c r="F20" s="390">
        <f t="shared" si="0"/>
        <v>1.61E-2</v>
      </c>
      <c r="G20" s="6"/>
      <c r="H20" s="482"/>
    </row>
    <row r="21" spans="1:8" s="4" customFormat="1" ht="15.75" customHeight="1" x14ac:dyDescent="0.2">
      <c r="A21" s="362" t="str">
        <f>A95</f>
        <v>1.5. Auxílio Alimentação (mensal)</v>
      </c>
      <c r="B21" s="43"/>
      <c r="C21" s="45"/>
      <c r="D21" s="45"/>
      <c r="E21" s="386">
        <f>F99</f>
        <v>240</v>
      </c>
      <c r="F21" s="390">
        <f t="shared" si="0"/>
        <v>5.1999999999999998E-3</v>
      </c>
      <c r="G21" s="6"/>
      <c r="H21" s="482"/>
    </row>
    <row r="22" spans="1:8" s="11" customFormat="1" ht="15.75" customHeight="1" x14ac:dyDescent="0.2">
      <c r="A22" s="507" t="str">
        <f>A103</f>
        <v>2. Uniformes e Equipamentos de Proteção Individual</v>
      </c>
      <c r="B22" s="508"/>
      <c r="C22" s="508"/>
      <c r="D22" s="105"/>
      <c r="E22" s="385">
        <f>+F135</f>
        <v>1121.47</v>
      </c>
      <c r="F22" s="389">
        <f t="shared" si="0"/>
        <v>2.4299999999999999E-2</v>
      </c>
      <c r="G22" s="42"/>
      <c r="H22" s="482"/>
    </row>
    <row r="23" spans="1:8" s="11" customFormat="1" ht="15.75" customHeight="1" x14ac:dyDescent="0.2">
      <c r="A23" s="112" t="str">
        <f>A137</f>
        <v>3. Veículos e Equipamentos</v>
      </c>
      <c r="B23" s="113"/>
      <c r="C23" s="105"/>
      <c r="D23" s="105"/>
      <c r="E23" s="385">
        <f>E24</f>
        <v>18360.57</v>
      </c>
      <c r="F23" s="389">
        <f t="shared" si="0"/>
        <v>0.39760000000000001</v>
      </c>
      <c r="G23" s="42"/>
      <c r="H23" s="482"/>
    </row>
    <row r="24" spans="1:8" s="4" customFormat="1" ht="15.75" customHeight="1" x14ac:dyDescent="0.2">
      <c r="A24" s="469" t="str">
        <f>A139</f>
        <v>3.1. Caminhão Toco Caçamba 32 m³</v>
      </c>
      <c r="B24" s="44"/>
      <c r="C24" s="45"/>
      <c r="D24" s="45"/>
      <c r="E24" s="386">
        <f>SUM(E25:E30)</f>
        <v>18360.57</v>
      </c>
      <c r="F24" s="391">
        <f t="shared" si="0"/>
        <v>0.39760000000000001</v>
      </c>
      <c r="G24" s="6"/>
      <c r="H24" s="482"/>
    </row>
    <row r="25" spans="1:8" s="4" customFormat="1" ht="15.75" customHeight="1" x14ac:dyDescent="0.2">
      <c r="A25" s="58" t="str">
        <f>A141</f>
        <v>3.1.1. Depreciação</v>
      </c>
      <c r="B25" s="44"/>
      <c r="C25" s="45"/>
      <c r="D25" s="45"/>
      <c r="E25" s="386">
        <f>F155</f>
        <v>2957.14</v>
      </c>
      <c r="F25" s="391">
        <f t="shared" si="0"/>
        <v>6.4000000000000001E-2</v>
      </c>
      <c r="G25" s="6"/>
      <c r="H25" s="482"/>
    </row>
    <row r="26" spans="1:8" s="4" customFormat="1" ht="15.75" customHeight="1" x14ac:dyDescent="0.2">
      <c r="A26" s="58" t="str">
        <f>A157</f>
        <v>3.1.2. Remuneração do Capital</v>
      </c>
      <c r="B26" s="44"/>
      <c r="C26" s="45"/>
      <c r="D26" s="45"/>
      <c r="E26" s="386">
        <f>F171</f>
        <v>3606.93</v>
      </c>
      <c r="F26" s="391">
        <f t="shared" si="0"/>
        <v>7.8100000000000003E-2</v>
      </c>
      <c r="G26" s="6"/>
      <c r="H26" s="482"/>
    </row>
    <row r="27" spans="1:8" s="4" customFormat="1" ht="15.75" customHeight="1" x14ac:dyDescent="0.2">
      <c r="A27" s="58" t="str">
        <f>A173</f>
        <v>3.1.3. Impostos e Seguros</v>
      </c>
      <c r="B27" s="44"/>
      <c r="C27" s="45"/>
      <c r="D27" s="45"/>
      <c r="E27" s="386">
        <f>F179</f>
        <v>360.33</v>
      </c>
      <c r="F27" s="391">
        <f t="shared" si="0"/>
        <v>7.7999999999999996E-3</v>
      </c>
      <c r="G27" s="6"/>
      <c r="H27" s="482"/>
    </row>
    <row r="28" spans="1:8" s="4" customFormat="1" ht="15.75" customHeight="1" x14ac:dyDescent="0.2">
      <c r="A28" s="58" t="str">
        <f>A182</f>
        <v>3.1.4. Consumos</v>
      </c>
      <c r="B28" s="44"/>
      <c r="C28" s="45"/>
      <c r="D28" s="45"/>
      <c r="E28" s="386">
        <f>F201</f>
        <v>7227.57</v>
      </c>
      <c r="F28" s="391">
        <f t="shared" si="0"/>
        <v>0.1565</v>
      </c>
      <c r="G28" s="6"/>
      <c r="H28" s="482"/>
    </row>
    <row r="29" spans="1:8" s="4" customFormat="1" ht="15.75" customHeight="1" x14ac:dyDescent="0.2">
      <c r="A29" s="58" t="str">
        <f>A202</f>
        <v>3.1.5. Manutenção</v>
      </c>
      <c r="B29" s="44"/>
      <c r="C29" s="45"/>
      <c r="D29" s="45"/>
      <c r="E29" s="386">
        <f>F205</f>
        <v>3687.2</v>
      </c>
      <c r="F29" s="391">
        <f t="shared" si="0"/>
        <v>7.9899999999999999E-2</v>
      </c>
      <c r="G29" s="6"/>
      <c r="H29" s="482"/>
    </row>
    <row r="30" spans="1:8" s="4" customFormat="1" ht="15.75" customHeight="1" x14ac:dyDescent="0.2">
      <c r="A30" s="58" t="str">
        <f>A207</f>
        <v>3.1.6. Pneus</v>
      </c>
      <c r="B30" s="44"/>
      <c r="C30" s="45"/>
      <c r="D30" s="45"/>
      <c r="E30" s="386">
        <f>F214</f>
        <v>521.4</v>
      </c>
      <c r="F30" s="391">
        <f t="shared" si="0"/>
        <v>1.1299999999999999E-2</v>
      </c>
      <c r="G30" s="6"/>
      <c r="H30" s="482"/>
    </row>
    <row r="31" spans="1:8" s="11" customFormat="1" ht="15.75" customHeight="1" x14ac:dyDescent="0.2">
      <c r="A31" s="112" t="str">
        <f>A218</f>
        <v>4. Ferramentas e Materiais de Consumo</v>
      </c>
      <c r="B31" s="113"/>
      <c r="C31" s="105"/>
      <c r="D31" s="105"/>
      <c r="E31" s="385">
        <f>+F228</f>
        <v>24.53</v>
      </c>
      <c r="F31" s="389">
        <f t="shared" si="0"/>
        <v>5.0000000000000001E-4</v>
      </c>
      <c r="G31" s="42"/>
      <c r="H31" s="482"/>
    </row>
    <row r="32" spans="1:8" s="11" customFormat="1" ht="15.75" customHeight="1" x14ac:dyDescent="0.2">
      <c r="A32" s="112" t="str">
        <f>A230</f>
        <v>5. Monitoramento da Frota</v>
      </c>
      <c r="B32" s="113"/>
      <c r="C32" s="105"/>
      <c r="D32" s="105"/>
      <c r="E32" s="385">
        <f>+F239</f>
        <v>124.66</v>
      </c>
      <c r="F32" s="389">
        <f t="shared" si="0"/>
        <v>2.7000000000000001E-3</v>
      </c>
      <c r="G32" s="42"/>
      <c r="H32" s="482"/>
    </row>
    <row r="33" spans="1:8" s="11" customFormat="1" ht="15.75" customHeight="1" thickBot="1" x14ac:dyDescent="0.25">
      <c r="A33" s="112" t="str">
        <f>A243</f>
        <v>6. Benefícios e Despesas Indiretas - BDI</v>
      </c>
      <c r="B33" s="113"/>
      <c r="C33" s="105"/>
      <c r="D33" s="105"/>
      <c r="E33" s="387">
        <f>+F249</f>
        <v>10775.65</v>
      </c>
      <c r="F33" s="389">
        <f t="shared" si="0"/>
        <v>0.2334</v>
      </c>
      <c r="G33" s="42"/>
      <c r="H33" s="482"/>
    </row>
    <row r="34" spans="1:8" s="4" customFormat="1" ht="15.75" customHeight="1" thickBot="1" x14ac:dyDescent="0.25">
      <c r="A34" s="40" t="s">
        <v>218</v>
      </c>
      <c r="B34" s="41"/>
      <c r="C34" s="26"/>
      <c r="D34" s="26"/>
      <c r="E34" s="388">
        <f>E16+E22+E23+E31+E32+E33</f>
        <v>46175.29</v>
      </c>
      <c r="F34" s="392">
        <f>F16+F22+F23+F31+F32+F33</f>
        <v>1</v>
      </c>
      <c r="G34" s="6"/>
      <c r="H34" s="482"/>
    </row>
    <row r="35" spans="1:8" x14ac:dyDescent="0.2">
      <c r="D35" s="9"/>
      <c r="E35" s="9"/>
      <c r="F35" s="9"/>
    </row>
    <row r="36" spans="1:8" ht="13.5" thickBot="1" x14ac:dyDescent="0.25"/>
    <row r="37" spans="1:8" s="4" customFormat="1" ht="15" customHeight="1" thickBot="1" x14ac:dyDescent="0.25">
      <c r="A37" s="518" t="s">
        <v>90</v>
      </c>
      <c r="B37" s="519"/>
      <c r="C37" s="519"/>
      <c r="D37" s="519"/>
      <c r="E37" s="520"/>
      <c r="F37" s="10"/>
      <c r="G37" s="6"/>
    </row>
    <row r="38" spans="1:8" s="4" customFormat="1" ht="15" customHeight="1" thickBot="1" x14ac:dyDescent="0.25">
      <c r="A38" s="515" t="s">
        <v>32</v>
      </c>
      <c r="B38" s="516"/>
      <c r="C38" s="516"/>
      <c r="D38" s="517"/>
      <c r="E38" s="365" t="s">
        <v>33</v>
      </c>
      <c r="F38" s="10"/>
      <c r="G38" s="6"/>
    </row>
    <row r="39" spans="1:8" s="4" customFormat="1" ht="15" customHeight="1" x14ac:dyDescent="0.2">
      <c r="A39" s="363" t="str">
        <f>+A52</f>
        <v>1.1. Coletor de Resíduos Sólidos</v>
      </c>
      <c r="B39" s="65"/>
      <c r="C39" s="65"/>
      <c r="D39" s="66"/>
      <c r="E39" s="67">
        <f>C62</f>
        <v>2</v>
      </c>
      <c r="F39" s="10"/>
      <c r="G39" s="6"/>
    </row>
    <row r="40" spans="1:8" s="4" customFormat="1" ht="15" customHeight="1" x14ac:dyDescent="0.2">
      <c r="A40" s="364" t="str">
        <f>+A65</f>
        <v>1.2. Motorista de Caminhão</v>
      </c>
      <c r="B40" s="59"/>
      <c r="C40" s="59"/>
      <c r="D40" s="68"/>
      <c r="E40" s="62">
        <f>C77</f>
        <v>1</v>
      </c>
      <c r="F40" s="10"/>
      <c r="G40" s="6"/>
    </row>
    <row r="41" spans="1:8" s="4" customFormat="1" ht="15" customHeight="1" thickBot="1" x14ac:dyDescent="0.25">
      <c r="A41" s="63" t="s">
        <v>52</v>
      </c>
      <c r="B41" s="64"/>
      <c r="C41" s="64"/>
      <c r="D41" s="69"/>
      <c r="E41" s="70">
        <f>SUM(E39:E40)</f>
        <v>3</v>
      </c>
      <c r="F41" s="10"/>
      <c r="G41" s="6"/>
    </row>
    <row r="42" spans="1:8" s="4" customFormat="1" ht="15" customHeight="1" thickBot="1" x14ac:dyDescent="0.25">
      <c r="A42" s="106"/>
      <c r="B42" s="107"/>
      <c r="C42" s="52"/>
      <c r="D42" s="52"/>
      <c r="E42" s="108"/>
      <c r="F42" s="10"/>
      <c r="G42" s="6"/>
    </row>
    <row r="43" spans="1:8" s="4" customFormat="1" ht="15" customHeight="1" x14ac:dyDescent="0.2">
      <c r="A43" s="505" t="s">
        <v>49</v>
      </c>
      <c r="B43" s="506"/>
      <c r="C43" s="506"/>
      <c r="D43" s="506"/>
      <c r="E43" s="365" t="s">
        <v>33</v>
      </c>
      <c r="F43" s="9"/>
      <c r="G43" s="6"/>
    </row>
    <row r="44" spans="1:8" s="4" customFormat="1" ht="15" customHeight="1" thickBot="1" x14ac:dyDescent="0.25">
      <c r="A44" s="366" t="str">
        <f>+A139</f>
        <v>3.1. Caminhão Toco Caçamba 32 m³</v>
      </c>
      <c r="B44" s="109"/>
      <c r="C44" s="109"/>
      <c r="D44" s="110"/>
      <c r="E44" s="111">
        <f>C154</f>
        <v>1</v>
      </c>
      <c r="F44" s="9"/>
      <c r="G44" s="6"/>
    </row>
    <row r="45" spans="1:8" s="4" customFormat="1" ht="15" customHeight="1" x14ac:dyDescent="0.2">
      <c r="A45" s="52"/>
      <c r="B45" s="52"/>
      <c r="C45" s="52"/>
      <c r="D45" s="9"/>
      <c r="E45" s="195"/>
      <c r="F45" s="9"/>
      <c r="G45" s="6"/>
    </row>
    <row r="46" spans="1:8" s="4" customFormat="1" ht="13.5" thickBot="1" x14ac:dyDescent="0.25">
      <c r="A46" s="52"/>
      <c r="B46" s="52"/>
      <c r="C46" s="52"/>
      <c r="D46" s="9"/>
      <c r="E46" s="60"/>
      <c r="F46" s="9"/>
      <c r="G46" s="6"/>
    </row>
    <row r="47" spans="1:8" s="11" customFormat="1" ht="13.5" thickBot="1" x14ac:dyDescent="0.25">
      <c r="A47" s="197" t="s">
        <v>349</v>
      </c>
      <c r="B47" s="447">
        <f>'Plan Diversas'!I95</f>
        <v>0.8</v>
      </c>
      <c r="C47" s="52"/>
      <c r="D47" s="9"/>
      <c r="E47" s="60"/>
      <c r="F47" s="9"/>
      <c r="G47" s="42"/>
    </row>
    <row r="48" spans="1:8" s="11" customFormat="1" ht="13.5" thickBot="1" x14ac:dyDescent="0.25">
      <c r="A48" s="427" t="s">
        <v>369</v>
      </c>
      <c r="B48" s="447">
        <f>B47</f>
        <v>0.8</v>
      </c>
      <c r="C48" s="52"/>
      <c r="D48" s="9"/>
      <c r="E48" s="60"/>
      <c r="F48" s="9"/>
      <c r="G48" s="42"/>
    </row>
    <row r="49" spans="1:7" s="4" customFormat="1" ht="15.75" customHeight="1" x14ac:dyDescent="0.2">
      <c r="A49" s="52"/>
      <c r="B49" s="52"/>
      <c r="C49" s="52"/>
      <c r="D49" s="9"/>
      <c r="E49" s="60"/>
      <c r="F49" s="9"/>
      <c r="G49" s="6"/>
    </row>
    <row r="50" spans="1:7" ht="13.15" customHeight="1" x14ac:dyDescent="0.2">
      <c r="A50" s="11" t="s">
        <v>40</v>
      </c>
      <c r="C50" s="52"/>
      <c r="D50" s="60"/>
      <c r="E50" s="60"/>
      <c r="F50" s="9"/>
    </row>
    <row r="51" spans="1:7" ht="11.25" customHeight="1" x14ac:dyDescent="0.2">
      <c r="C51" s="52"/>
      <c r="D51" s="9"/>
      <c r="E51" s="60"/>
      <c r="F51" s="9"/>
    </row>
    <row r="52" spans="1:7" ht="13.9" customHeight="1" thickBot="1" x14ac:dyDescent="0.25">
      <c r="A52" s="7" t="s">
        <v>342</v>
      </c>
    </row>
    <row r="53" spans="1:7" ht="13.9" customHeight="1" thickBot="1" x14ac:dyDescent="0.25">
      <c r="A53" s="53" t="s">
        <v>57</v>
      </c>
      <c r="B53" s="54" t="s">
        <v>58</v>
      </c>
      <c r="C53" s="54" t="s">
        <v>33</v>
      </c>
      <c r="D53" s="55" t="s">
        <v>214</v>
      </c>
      <c r="E53" s="55" t="s">
        <v>59</v>
      </c>
      <c r="F53" s="56" t="s">
        <v>60</v>
      </c>
    </row>
    <row r="54" spans="1:7" ht="13.15" customHeight="1" x14ac:dyDescent="0.2">
      <c r="A54" s="13" t="s">
        <v>194</v>
      </c>
      <c r="B54" s="14" t="s">
        <v>6</v>
      </c>
      <c r="C54" s="14">
        <v>1</v>
      </c>
      <c r="D54" s="75">
        <v>2580.5300000000002</v>
      </c>
      <c r="E54" s="15">
        <f>C54*D54</f>
        <v>2580.5300000000002</v>
      </c>
    </row>
    <row r="55" spans="1:7" x14ac:dyDescent="0.2">
      <c r="A55" s="470" t="s">
        <v>425</v>
      </c>
      <c r="B55" s="472" t="s">
        <v>428</v>
      </c>
      <c r="C55" s="474">
        <f>'Plan Diversas'!$J$21*15/12</f>
        <v>6.9</v>
      </c>
      <c r="D55" s="414">
        <f>D54/220*2</f>
        <v>23.46</v>
      </c>
      <c r="E55" s="71">
        <f t="shared" ref="E55:E56" si="1">C55*D55</f>
        <v>161.87</v>
      </c>
    </row>
    <row r="56" spans="1:7" x14ac:dyDescent="0.2">
      <c r="A56" s="470" t="s">
        <v>426</v>
      </c>
      <c r="B56" s="472" t="s">
        <v>428</v>
      </c>
      <c r="C56" s="472">
        <v>0</v>
      </c>
      <c r="D56" s="414">
        <f>D54/220*1.5</f>
        <v>17.59</v>
      </c>
      <c r="E56" s="71">
        <f t="shared" si="1"/>
        <v>0</v>
      </c>
    </row>
    <row r="57" spans="1:7" x14ac:dyDescent="0.2">
      <c r="A57" s="470" t="s">
        <v>427</v>
      </c>
      <c r="B57" s="472" t="s">
        <v>28</v>
      </c>
      <c r="C57" s="473" t="s">
        <v>283</v>
      </c>
      <c r="D57" s="71">
        <f>((52.1+15)/298)*SUM(E55:E56)</f>
        <v>36.450000000000003</v>
      </c>
      <c r="E57" s="71">
        <f>D57</f>
        <v>36.450000000000003</v>
      </c>
    </row>
    <row r="58" spans="1:7" x14ac:dyDescent="0.2">
      <c r="A58" s="16" t="s">
        <v>0</v>
      </c>
      <c r="B58" s="17" t="s">
        <v>1</v>
      </c>
      <c r="C58" s="17">
        <v>40</v>
      </c>
      <c r="D58" s="71">
        <f>SUM(E54:E57)</f>
        <v>2778.85</v>
      </c>
      <c r="E58" s="18">
        <f>C58*D58/100</f>
        <v>1111.54</v>
      </c>
    </row>
    <row r="59" spans="1:7" x14ac:dyDescent="0.2">
      <c r="A59" s="96" t="s">
        <v>2</v>
      </c>
      <c r="B59" s="97"/>
      <c r="C59" s="97"/>
      <c r="D59" s="98"/>
      <c r="E59" s="471">
        <f>SUM(E54:E58)</f>
        <v>3890.39</v>
      </c>
    </row>
    <row r="60" spans="1:7" x14ac:dyDescent="0.2">
      <c r="A60" s="16" t="s">
        <v>3</v>
      </c>
      <c r="B60" s="17" t="s">
        <v>1</v>
      </c>
      <c r="C60" s="115">
        <f>'2.Encargos Sociais'!$C$37*100</f>
        <v>70.599999999999994</v>
      </c>
      <c r="D60" s="18">
        <f>E59</f>
        <v>3890.39</v>
      </c>
      <c r="E60" s="18">
        <f>D60*C60/100</f>
        <v>2746.62</v>
      </c>
    </row>
    <row r="61" spans="1:7" x14ac:dyDescent="0.2">
      <c r="A61" s="96" t="s">
        <v>66</v>
      </c>
      <c r="B61" s="97"/>
      <c r="C61" s="97"/>
      <c r="D61" s="98"/>
      <c r="E61" s="99">
        <f>E59+E60</f>
        <v>6637.01</v>
      </c>
    </row>
    <row r="62" spans="1:7" ht="13.5" thickBot="1" x14ac:dyDescent="0.25">
      <c r="A62" s="16" t="s">
        <v>4</v>
      </c>
      <c r="B62" s="17" t="s">
        <v>5</v>
      </c>
      <c r="C62" s="74">
        <v>2</v>
      </c>
      <c r="D62" s="18">
        <f>E61</f>
        <v>6637.01</v>
      </c>
      <c r="E62" s="18">
        <f>C62*D62</f>
        <v>13274.02</v>
      </c>
      <c r="G62" s="6"/>
    </row>
    <row r="63" spans="1:7" ht="13.9" customHeight="1" thickBot="1" x14ac:dyDescent="0.25">
      <c r="D63" s="101" t="s">
        <v>179</v>
      </c>
      <c r="E63" s="381">
        <f>$B$47</f>
        <v>0.8</v>
      </c>
      <c r="F63" s="21">
        <f>E62*E63</f>
        <v>10619.22</v>
      </c>
      <c r="G63" s="6"/>
    </row>
    <row r="64" spans="1:7" ht="11.25" customHeight="1" x14ac:dyDescent="0.2"/>
    <row r="65" spans="1:7" ht="13.5" thickBot="1" x14ac:dyDescent="0.25">
      <c r="A65" s="7" t="s">
        <v>343</v>
      </c>
    </row>
    <row r="66" spans="1:7" s="12" customFormat="1" ht="13.15" customHeight="1" thickBot="1" x14ac:dyDescent="0.25">
      <c r="A66" s="53" t="s">
        <v>57</v>
      </c>
      <c r="B66" s="54" t="s">
        <v>58</v>
      </c>
      <c r="C66" s="54" t="s">
        <v>33</v>
      </c>
      <c r="D66" s="55" t="s">
        <v>214</v>
      </c>
      <c r="E66" s="55" t="s">
        <v>59</v>
      </c>
      <c r="F66" s="56" t="s">
        <v>60</v>
      </c>
      <c r="G66" s="10"/>
    </row>
    <row r="67" spans="1:7" x14ac:dyDescent="0.2">
      <c r="A67" s="230" t="s">
        <v>263</v>
      </c>
      <c r="B67" s="14" t="s">
        <v>6</v>
      </c>
      <c r="C67" s="14">
        <v>1</v>
      </c>
      <c r="D67" s="75">
        <v>2553.5300000000002</v>
      </c>
      <c r="E67" s="15">
        <f>C67*D67</f>
        <v>2553.5300000000002</v>
      </c>
    </row>
    <row r="68" spans="1:7" x14ac:dyDescent="0.2">
      <c r="A68" s="230" t="s">
        <v>264</v>
      </c>
      <c r="B68" s="14" t="s">
        <v>6</v>
      </c>
      <c r="C68" s="14">
        <v>1</v>
      </c>
      <c r="D68" s="75">
        <v>1412</v>
      </c>
      <c r="E68" s="15"/>
    </row>
    <row r="69" spans="1:7" x14ac:dyDescent="0.2">
      <c r="A69" s="470" t="s">
        <v>425</v>
      </c>
      <c r="B69" s="472" t="s">
        <v>428</v>
      </c>
      <c r="C69" s="474">
        <f>'Plan Diversas'!$J$21*15/12</f>
        <v>6.9</v>
      </c>
      <c r="D69" s="71">
        <f>D67/220*2</f>
        <v>23.21</v>
      </c>
      <c r="E69" s="71">
        <f t="shared" ref="E69:E70" si="2">C69*D69</f>
        <v>160.15</v>
      </c>
    </row>
    <row r="70" spans="1:7" x14ac:dyDescent="0.2">
      <c r="A70" s="470" t="s">
        <v>426</v>
      </c>
      <c r="B70" s="472" t="s">
        <v>428</v>
      </c>
      <c r="C70" s="472">
        <v>0</v>
      </c>
      <c r="D70" s="71">
        <f>D67/220*1.5</f>
        <v>17.41</v>
      </c>
      <c r="E70" s="71">
        <f t="shared" si="2"/>
        <v>0</v>
      </c>
    </row>
    <row r="71" spans="1:7" x14ac:dyDescent="0.2">
      <c r="A71" s="470" t="s">
        <v>427</v>
      </c>
      <c r="B71" s="472" t="s">
        <v>28</v>
      </c>
      <c r="C71" s="473" t="s">
        <v>283</v>
      </c>
      <c r="D71" s="71">
        <f>((52.1+15)/298)*SUM(E69:E70)</f>
        <v>36.06</v>
      </c>
      <c r="E71" s="414">
        <f>D71</f>
        <v>36.06</v>
      </c>
    </row>
    <row r="72" spans="1:7" x14ac:dyDescent="0.2">
      <c r="A72" s="16" t="s">
        <v>195</v>
      </c>
      <c r="B72" s="17"/>
      <c r="C72" s="77">
        <v>1</v>
      </c>
      <c r="D72" s="18"/>
      <c r="E72" s="18"/>
    </row>
    <row r="73" spans="1:7" x14ac:dyDescent="0.2">
      <c r="A73" s="16" t="s">
        <v>0</v>
      </c>
      <c r="B73" s="17" t="s">
        <v>1</v>
      </c>
      <c r="C73" s="74">
        <v>20</v>
      </c>
      <c r="D73" s="71">
        <f>IF(C72=2,SUM(E67:E71),IF(C72=1,(SUM(E67:E71))*D68/D67,0))</f>
        <v>1520.5</v>
      </c>
      <c r="E73" s="18">
        <f>C73*D73/100</f>
        <v>304.10000000000002</v>
      </c>
    </row>
    <row r="74" spans="1:7" s="11" customFormat="1" x14ac:dyDescent="0.2">
      <c r="A74" s="87" t="s">
        <v>2</v>
      </c>
      <c r="B74" s="97"/>
      <c r="C74" s="97"/>
      <c r="D74" s="98"/>
      <c r="E74" s="89">
        <f>SUM(E67:E73)</f>
        <v>3053.84</v>
      </c>
      <c r="F74" s="42"/>
      <c r="G74" s="42"/>
    </row>
    <row r="75" spans="1:7" x14ac:dyDescent="0.2">
      <c r="A75" s="16" t="s">
        <v>3</v>
      </c>
      <c r="B75" s="17" t="s">
        <v>1</v>
      </c>
      <c r="C75" s="115">
        <f>'2.Encargos Sociais'!$C$37*100</f>
        <v>70.599999999999994</v>
      </c>
      <c r="D75" s="18">
        <f>E74</f>
        <v>3053.84</v>
      </c>
      <c r="E75" s="18">
        <f>D75*C75/100</f>
        <v>2156.0100000000002</v>
      </c>
    </row>
    <row r="76" spans="1:7" s="11" customFormat="1" x14ac:dyDescent="0.2">
      <c r="A76" s="87" t="s">
        <v>229</v>
      </c>
      <c r="B76" s="203"/>
      <c r="C76" s="203"/>
      <c r="D76" s="204"/>
      <c r="E76" s="89">
        <f>E74+E75</f>
        <v>5209.8500000000004</v>
      </c>
      <c r="F76" s="42"/>
      <c r="G76" s="42"/>
    </row>
    <row r="77" spans="1:7" ht="13.5" thickBot="1" x14ac:dyDescent="0.25">
      <c r="A77" s="16" t="s">
        <v>4</v>
      </c>
      <c r="B77" s="17" t="s">
        <v>5</v>
      </c>
      <c r="C77" s="74">
        <v>1</v>
      </c>
      <c r="D77" s="18">
        <f>E76</f>
        <v>5209.8500000000004</v>
      </c>
      <c r="E77" s="18">
        <f>C77*D77</f>
        <v>5209.8500000000004</v>
      </c>
    </row>
    <row r="78" spans="1:7" ht="13.5" thickBot="1" x14ac:dyDescent="0.25">
      <c r="D78" s="101" t="s">
        <v>179</v>
      </c>
      <c r="E78" s="381">
        <f>$B$47</f>
        <v>0.8</v>
      </c>
      <c r="F78" s="21">
        <f>E77*E78</f>
        <v>4167.88</v>
      </c>
    </row>
    <row r="79" spans="1:7" ht="11.25" customHeight="1" x14ac:dyDescent="0.2"/>
    <row r="80" spans="1:7" ht="11.25" customHeight="1" x14ac:dyDescent="0.2">
      <c r="G80" s="9"/>
    </row>
    <row r="81" spans="1:7" ht="13.5" thickBot="1" x14ac:dyDescent="0.25">
      <c r="A81" s="7" t="s">
        <v>344</v>
      </c>
      <c r="B81" s="79"/>
      <c r="D81" s="9"/>
      <c r="E81" s="9"/>
      <c r="G81" s="9"/>
    </row>
    <row r="82" spans="1:7" ht="13.5" thickBot="1" x14ac:dyDescent="0.25">
      <c r="A82" s="53" t="s">
        <v>57</v>
      </c>
      <c r="B82" s="54" t="s">
        <v>58</v>
      </c>
      <c r="C82" s="54" t="s">
        <v>33</v>
      </c>
      <c r="D82" s="55" t="s">
        <v>214</v>
      </c>
      <c r="E82" s="55" t="s">
        <v>59</v>
      </c>
      <c r="F82" s="56" t="s">
        <v>60</v>
      </c>
      <c r="G82" s="9"/>
    </row>
    <row r="83" spans="1:7" x14ac:dyDescent="0.2">
      <c r="A83" s="16" t="s">
        <v>85</v>
      </c>
      <c r="B83" s="17" t="s">
        <v>28</v>
      </c>
      <c r="C83" s="475">
        <v>1</v>
      </c>
      <c r="D83" s="78">
        <v>0</v>
      </c>
      <c r="E83" s="18"/>
      <c r="G83" s="9"/>
    </row>
    <row r="84" spans="1:7" x14ac:dyDescent="0.2">
      <c r="A84" s="16" t="s">
        <v>86</v>
      </c>
      <c r="B84" s="17" t="s">
        <v>87</v>
      </c>
      <c r="C84" s="476">
        <f>'Plan Diversas'!J91</f>
        <v>26</v>
      </c>
      <c r="D84" s="18"/>
      <c r="E84" s="18"/>
      <c r="G84" s="9"/>
    </row>
    <row r="85" spans="1:7" x14ac:dyDescent="0.2">
      <c r="A85" s="16" t="s">
        <v>67</v>
      </c>
      <c r="B85" s="17" t="s">
        <v>7</v>
      </c>
      <c r="C85" s="475">
        <f>$C$84*2*C62</f>
        <v>104</v>
      </c>
      <c r="D85" s="15">
        <f>IF(D83=0,0,IFERROR((($C$84*2*$D$83)-(E54*0.06*C84/26))/($C$84*2),"-"))</f>
        <v>0</v>
      </c>
      <c r="E85" s="18">
        <f>IFERROR(C85*D85,"-")</f>
        <v>0</v>
      </c>
      <c r="G85" s="9"/>
    </row>
    <row r="86" spans="1:7" ht="13.5" thickBot="1" x14ac:dyDescent="0.25">
      <c r="A86" s="13" t="s">
        <v>37</v>
      </c>
      <c r="B86" s="14" t="s">
        <v>7</v>
      </c>
      <c r="C86" s="475">
        <f>$C$84*2*(C77)</f>
        <v>52</v>
      </c>
      <c r="D86" s="15">
        <f>IF(D83=0,0,IFERROR((($C$84*2*$D$83)-(E67*0.06*C84/26))/($C$84*2),"-"))</f>
        <v>0</v>
      </c>
      <c r="E86" s="15">
        <f>IFERROR(C86*D86,"-")</f>
        <v>0</v>
      </c>
      <c r="G86" s="9"/>
    </row>
    <row r="87" spans="1:7" ht="13.5" thickBot="1" x14ac:dyDescent="0.25">
      <c r="D87" s="101" t="s">
        <v>179</v>
      </c>
      <c r="E87" s="368">
        <f>$B$47</f>
        <v>0.8</v>
      </c>
      <c r="F87" s="22">
        <f>SUM(E85:E86)*E87</f>
        <v>0</v>
      </c>
      <c r="G87" s="9"/>
    </row>
    <row r="88" spans="1:7" ht="11.25" customHeight="1" x14ac:dyDescent="0.2">
      <c r="G88" s="9"/>
    </row>
    <row r="89" spans="1:7" ht="13.5" thickBot="1" x14ac:dyDescent="0.25">
      <c r="A89" s="7" t="s">
        <v>345</v>
      </c>
      <c r="F89" s="23"/>
      <c r="G89" s="9"/>
    </row>
    <row r="90" spans="1:7" ht="13.5" thickBot="1" x14ac:dyDescent="0.25">
      <c r="A90" s="53" t="s">
        <v>57</v>
      </c>
      <c r="B90" s="54" t="s">
        <v>58</v>
      </c>
      <c r="C90" s="54" t="s">
        <v>33</v>
      </c>
      <c r="D90" s="55" t="s">
        <v>214</v>
      </c>
      <c r="E90" s="55" t="s">
        <v>59</v>
      </c>
      <c r="F90" s="56" t="s">
        <v>60</v>
      </c>
      <c r="G90" s="9"/>
    </row>
    <row r="91" spans="1:7" x14ac:dyDescent="0.2">
      <c r="A91" s="16" t="str">
        <f>+A85</f>
        <v>Coletor</v>
      </c>
      <c r="B91" s="17" t="s">
        <v>8</v>
      </c>
      <c r="C91" s="86">
        <f>C84*(E39)</f>
        <v>52</v>
      </c>
      <c r="D91" s="76">
        <v>17.82</v>
      </c>
      <c r="E91" s="46">
        <f>C91*D91</f>
        <v>926.64</v>
      </c>
      <c r="F91" s="23"/>
      <c r="G91" s="9"/>
    </row>
    <row r="92" spans="1:7" ht="13.5" thickBot="1" x14ac:dyDescent="0.25">
      <c r="A92" s="16" t="str">
        <f>+A86</f>
        <v>Motorista</v>
      </c>
      <c r="B92" s="17" t="s">
        <v>8</v>
      </c>
      <c r="C92" s="86">
        <f>C84*(E40)</f>
        <v>26</v>
      </c>
      <c r="D92" s="76">
        <v>0</v>
      </c>
      <c r="E92" s="46">
        <f>C92*D92</f>
        <v>0</v>
      </c>
      <c r="F92" s="23"/>
      <c r="G92" s="9"/>
    </row>
    <row r="93" spans="1:7" ht="13.5" thickBot="1" x14ac:dyDescent="0.25">
      <c r="D93" s="101" t="s">
        <v>179</v>
      </c>
      <c r="E93" s="368">
        <f>$B$47</f>
        <v>0.8</v>
      </c>
      <c r="F93" s="22">
        <f>SUM(E91:E92)*E93</f>
        <v>741.31</v>
      </c>
      <c r="G93" s="9"/>
    </row>
    <row r="94" spans="1:7" x14ac:dyDescent="0.2">
      <c r="G94" s="9"/>
    </row>
    <row r="95" spans="1:7" ht="13.5" thickBot="1" x14ac:dyDescent="0.25">
      <c r="A95" s="7" t="s">
        <v>346</v>
      </c>
      <c r="F95" s="23"/>
      <c r="G95" s="9"/>
    </row>
    <row r="96" spans="1:7" ht="13.5" thickBot="1" x14ac:dyDescent="0.25">
      <c r="A96" s="53" t="s">
        <v>57</v>
      </c>
      <c r="B96" s="54" t="s">
        <v>58</v>
      </c>
      <c r="C96" s="54" t="s">
        <v>33</v>
      </c>
      <c r="D96" s="55" t="s">
        <v>214</v>
      </c>
      <c r="E96" s="55" t="s">
        <v>59</v>
      </c>
      <c r="F96" s="56" t="s">
        <v>60</v>
      </c>
      <c r="G96" s="9"/>
    </row>
    <row r="97" spans="1:7" x14ac:dyDescent="0.2">
      <c r="A97" s="16" t="str">
        <f>+A91</f>
        <v>Coletor</v>
      </c>
      <c r="B97" s="17" t="s">
        <v>8</v>
      </c>
      <c r="C97" s="86">
        <f>E39</f>
        <v>2</v>
      </c>
      <c r="D97" s="76">
        <v>0</v>
      </c>
      <c r="E97" s="46">
        <f>C97*D97</f>
        <v>0</v>
      </c>
      <c r="F97" s="23"/>
      <c r="G97" s="9"/>
    </row>
    <row r="98" spans="1:7" ht="13.5" thickBot="1" x14ac:dyDescent="0.25">
      <c r="A98" s="16" t="str">
        <f>+A92</f>
        <v>Motorista</v>
      </c>
      <c r="B98" s="17" t="s">
        <v>8</v>
      </c>
      <c r="C98" s="86">
        <f>E40</f>
        <v>1</v>
      </c>
      <c r="D98" s="76">
        <v>300</v>
      </c>
      <c r="E98" s="46">
        <f>C98*D98</f>
        <v>300</v>
      </c>
      <c r="F98" s="23"/>
      <c r="G98" s="9"/>
    </row>
    <row r="99" spans="1:7" ht="13.5" thickBot="1" x14ac:dyDescent="0.25">
      <c r="D99" s="101" t="s">
        <v>179</v>
      </c>
      <c r="E99" s="368">
        <f>$B$47</f>
        <v>0.8</v>
      </c>
      <c r="F99" s="22">
        <f>SUM(E97:E98)*E99</f>
        <v>240</v>
      </c>
      <c r="G99" s="9"/>
    </row>
    <row r="100" spans="1:7" ht="13.5" thickBot="1" x14ac:dyDescent="0.25">
      <c r="G100" s="9"/>
    </row>
    <row r="101" spans="1:7" ht="13.5" thickBot="1" x14ac:dyDescent="0.25">
      <c r="A101" s="24" t="s">
        <v>88</v>
      </c>
      <c r="B101" s="25"/>
      <c r="C101" s="25"/>
      <c r="D101" s="26"/>
      <c r="E101" s="27"/>
      <c r="F101" s="22">
        <f>F99+F93+F87+F78+F63</f>
        <v>15768.41</v>
      </c>
      <c r="G101" s="9"/>
    </row>
    <row r="103" spans="1:7" x14ac:dyDescent="0.2">
      <c r="A103" s="11" t="s">
        <v>38</v>
      </c>
      <c r="G103" s="9"/>
    </row>
    <row r="104" spans="1:7" ht="11.25" customHeight="1" x14ac:dyDescent="0.2">
      <c r="G104" s="9"/>
    </row>
    <row r="105" spans="1:7" ht="13.9" customHeight="1" x14ac:dyDescent="0.2">
      <c r="A105" s="9" t="s">
        <v>180</v>
      </c>
      <c r="G105" s="9"/>
    </row>
    <row r="106" spans="1:7" ht="11.25" customHeight="1" thickBot="1" x14ac:dyDescent="0.25">
      <c r="G106" s="9"/>
    </row>
    <row r="107" spans="1:7" ht="27.75" customHeight="1" thickBot="1" x14ac:dyDescent="0.25">
      <c r="A107" s="53" t="s">
        <v>57</v>
      </c>
      <c r="B107" s="54" t="s">
        <v>58</v>
      </c>
      <c r="C107" s="205" t="s">
        <v>230</v>
      </c>
      <c r="D107" s="55" t="s">
        <v>214</v>
      </c>
      <c r="E107" s="55" t="s">
        <v>59</v>
      </c>
      <c r="F107" s="56" t="s">
        <v>60</v>
      </c>
      <c r="G107" s="9"/>
    </row>
    <row r="108" spans="1:7" x14ac:dyDescent="0.2">
      <c r="A108" s="13" t="s">
        <v>61</v>
      </c>
      <c r="B108" s="14" t="s">
        <v>8</v>
      </c>
      <c r="C108" s="61">
        <v>12</v>
      </c>
      <c r="D108" s="75">
        <v>299</v>
      </c>
      <c r="E108" s="15">
        <f>IFERROR(D108/C108,0)</f>
        <v>24.92</v>
      </c>
      <c r="G108" s="9"/>
    </row>
    <row r="109" spans="1:7" ht="13.15" customHeight="1" x14ac:dyDescent="0.2">
      <c r="A109" s="16" t="s">
        <v>25</v>
      </c>
      <c r="B109" s="17" t="s">
        <v>8</v>
      </c>
      <c r="C109" s="61">
        <v>3</v>
      </c>
      <c r="D109" s="75">
        <v>95</v>
      </c>
      <c r="E109" s="15">
        <f t="shared" ref="E109:E117" si="3">IFERROR(D109/C109,0)</f>
        <v>31.67</v>
      </c>
      <c r="G109" s="9"/>
    </row>
    <row r="110" spans="1:7" x14ac:dyDescent="0.2">
      <c r="A110" s="16" t="s">
        <v>26</v>
      </c>
      <c r="B110" s="17" t="s">
        <v>8</v>
      </c>
      <c r="C110" s="61">
        <v>3</v>
      </c>
      <c r="D110" s="75">
        <v>54.9</v>
      </c>
      <c r="E110" s="15">
        <f t="shared" si="3"/>
        <v>18.3</v>
      </c>
      <c r="G110" s="9"/>
    </row>
    <row r="111" spans="1:7" ht="13.15" customHeight="1" x14ac:dyDescent="0.2">
      <c r="A111" s="16" t="s">
        <v>350</v>
      </c>
      <c r="B111" s="17" t="s">
        <v>8</v>
      </c>
      <c r="C111" s="61">
        <v>3</v>
      </c>
      <c r="D111" s="75">
        <v>29</v>
      </c>
      <c r="E111" s="15">
        <f t="shared" si="3"/>
        <v>9.67</v>
      </c>
      <c r="G111" s="9"/>
    </row>
    <row r="112" spans="1:7" ht="13.9" customHeight="1" x14ac:dyDescent="0.2">
      <c r="A112" s="16" t="s">
        <v>63</v>
      </c>
      <c r="B112" s="17" t="s">
        <v>41</v>
      </c>
      <c r="C112" s="61">
        <v>3</v>
      </c>
      <c r="D112" s="75">
        <v>134.9</v>
      </c>
      <c r="E112" s="15">
        <f t="shared" si="3"/>
        <v>44.97</v>
      </c>
      <c r="G112" s="9"/>
    </row>
    <row r="113" spans="1:7" ht="13.15" customHeight="1" x14ac:dyDescent="0.2">
      <c r="A113" s="16" t="s">
        <v>89</v>
      </c>
      <c r="B113" s="17" t="s">
        <v>41</v>
      </c>
      <c r="C113" s="61">
        <v>3</v>
      </c>
      <c r="D113" s="75">
        <v>13.9</v>
      </c>
      <c r="E113" s="15">
        <f t="shared" si="3"/>
        <v>4.63</v>
      </c>
    </row>
    <row r="114" spans="1:7" x14ac:dyDescent="0.2">
      <c r="A114" s="16" t="s">
        <v>62</v>
      </c>
      <c r="B114" s="17" t="s">
        <v>8</v>
      </c>
      <c r="C114" s="61">
        <v>6</v>
      </c>
      <c r="D114" s="75">
        <v>229</v>
      </c>
      <c r="E114" s="15">
        <f t="shared" si="3"/>
        <v>38.17</v>
      </c>
    </row>
    <row r="115" spans="1:7" s="1" customFormat="1" x14ac:dyDescent="0.2">
      <c r="A115" s="2" t="s">
        <v>9</v>
      </c>
      <c r="B115" s="3" t="s">
        <v>8</v>
      </c>
      <c r="C115" s="61">
        <v>6</v>
      </c>
      <c r="D115" s="75">
        <v>42.9</v>
      </c>
      <c r="E115" s="15">
        <f t="shared" si="3"/>
        <v>7.15</v>
      </c>
      <c r="F115" s="36"/>
      <c r="G115" s="36"/>
    </row>
    <row r="116" spans="1:7" x14ac:dyDescent="0.2">
      <c r="A116" s="16" t="s">
        <v>27</v>
      </c>
      <c r="B116" s="17" t="s">
        <v>41</v>
      </c>
      <c r="C116" s="61">
        <v>1</v>
      </c>
      <c r="D116" s="75">
        <v>15</v>
      </c>
      <c r="E116" s="15">
        <f t="shared" si="3"/>
        <v>15</v>
      </c>
    </row>
    <row r="117" spans="1:7" ht="13.15" customHeight="1" x14ac:dyDescent="0.2">
      <c r="A117" s="16" t="s">
        <v>56</v>
      </c>
      <c r="B117" s="17" t="s">
        <v>42</v>
      </c>
      <c r="C117" s="61">
        <v>2</v>
      </c>
      <c r="D117" s="75">
        <v>19.899999999999999</v>
      </c>
      <c r="E117" s="15">
        <f t="shared" si="3"/>
        <v>9.9499999999999993</v>
      </c>
    </row>
    <row r="118" spans="1:7" x14ac:dyDescent="0.2">
      <c r="A118" s="16" t="s">
        <v>181</v>
      </c>
      <c r="B118" s="17" t="s">
        <v>108</v>
      </c>
      <c r="C118" s="61">
        <v>1</v>
      </c>
      <c r="D118" s="75">
        <v>275</v>
      </c>
      <c r="E118" s="18">
        <f t="shared" ref="E118:E119" si="4">C118*D118</f>
        <v>275</v>
      </c>
    </row>
    <row r="119" spans="1:7" ht="13.5" thickBot="1" x14ac:dyDescent="0.25">
      <c r="A119" s="16" t="s">
        <v>4</v>
      </c>
      <c r="B119" s="17" t="s">
        <v>5</v>
      </c>
      <c r="C119" s="61">
        <f>E39</f>
        <v>2</v>
      </c>
      <c r="D119" s="18">
        <f>+SUM(E108:E118)</f>
        <v>479.43</v>
      </c>
      <c r="E119" s="18">
        <f t="shared" si="4"/>
        <v>958.86</v>
      </c>
    </row>
    <row r="120" spans="1:7" ht="13.5" thickBot="1" x14ac:dyDescent="0.25">
      <c r="D120" s="101" t="s">
        <v>179</v>
      </c>
      <c r="E120" s="368">
        <f>$B$47</f>
        <v>0.8</v>
      </c>
      <c r="F120" s="102">
        <f>E119*E120</f>
        <v>767.09</v>
      </c>
    </row>
    <row r="121" spans="1:7" ht="11.25" customHeight="1" x14ac:dyDescent="0.2"/>
    <row r="122" spans="1:7" ht="13.9" customHeight="1" x14ac:dyDescent="0.2">
      <c r="A122" s="9" t="s">
        <v>182</v>
      </c>
    </row>
    <row r="123" spans="1:7" ht="11.25" customHeight="1" thickBot="1" x14ac:dyDescent="0.25"/>
    <row r="124" spans="1:7" ht="24.75" thickBot="1" x14ac:dyDescent="0.25">
      <c r="A124" s="53" t="s">
        <v>57</v>
      </c>
      <c r="B124" s="54" t="s">
        <v>58</v>
      </c>
      <c r="C124" s="205" t="s">
        <v>230</v>
      </c>
      <c r="D124" s="55" t="s">
        <v>214</v>
      </c>
      <c r="E124" s="55" t="s">
        <v>59</v>
      </c>
      <c r="F124" s="56" t="s">
        <v>60</v>
      </c>
    </row>
    <row r="125" spans="1:7" x14ac:dyDescent="0.2">
      <c r="A125" s="13" t="s">
        <v>61</v>
      </c>
      <c r="B125" s="14" t="s">
        <v>8</v>
      </c>
      <c r="C125" s="61">
        <v>12</v>
      </c>
      <c r="D125" s="15">
        <f>+D108</f>
        <v>299</v>
      </c>
      <c r="E125" s="15">
        <f>IFERROR(D125/C125,0)</f>
        <v>24.92</v>
      </c>
    </row>
    <row r="126" spans="1:7" x14ac:dyDescent="0.2">
      <c r="A126" s="16" t="s">
        <v>25</v>
      </c>
      <c r="B126" s="17" t="s">
        <v>8</v>
      </c>
      <c r="C126" s="61">
        <v>3</v>
      </c>
      <c r="D126" s="18">
        <f>+D109</f>
        <v>95</v>
      </c>
      <c r="E126" s="15">
        <f t="shared" ref="E126:E130" si="5">IFERROR(D126/C126,0)</f>
        <v>31.67</v>
      </c>
    </row>
    <row r="127" spans="1:7" x14ac:dyDescent="0.2">
      <c r="A127" s="16" t="s">
        <v>26</v>
      </c>
      <c r="B127" s="17" t="s">
        <v>8</v>
      </c>
      <c r="C127" s="61">
        <v>3</v>
      </c>
      <c r="D127" s="18">
        <f>+D110</f>
        <v>54.9</v>
      </c>
      <c r="E127" s="15">
        <f t="shared" si="5"/>
        <v>18.3</v>
      </c>
    </row>
    <row r="128" spans="1:7" x14ac:dyDescent="0.2">
      <c r="A128" s="16" t="s">
        <v>63</v>
      </c>
      <c r="B128" s="17" t="s">
        <v>41</v>
      </c>
      <c r="C128" s="61">
        <v>3</v>
      </c>
      <c r="D128" s="18">
        <f>+D112</f>
        <v>134.9</v>
      </c>
      <c r="E128" s="15">
        <f t="shared" si="5"/>
        <v>44.97</v>
      </c>
    </row>
    <row r="129" spans="1:7" x14ac:dyDescent="0.2">
      <c r="A129" s="16" t="s">
        <v>62</v>
      </c>
      <c r="B129" s="17" t="s">
        <v>8</v>
      </c>
      <c r="C129" s="61">
        <v>6</v>
      </c>
      <c r="D129" s="18">
        <f>+D114</f>
        <v>229</v>
      </c>
      <c r="E129" s="15">
        <f t="shared" si="5"/>
        <v>38.17</v>
      </c>
      <c r="G129" s="9"/>
    </row>
    <row r="130" spans="1:7" x14ac:dyDescent="0.2">
      <c r="A130" s="16" t="s">
        <v>56</v>
      </c>
      <c r="B130" s="17" t="s">
        <v>42</v>
      </c>
      <c r="C130" s="61">
        <v>2</v>
      </c>
      <c r="D130" s="18">
        <f>+D117</f>
        <v>19.899999999999999</v>
      </c>
      <c r="E130" s="15">
        <f t="shared" si="5"/>
        <v>9.9499999999999993</v>
      </c>
      <c r="G130" s="9"/>
    </row>
    <row r="131" spans="1:7" x14ac:dyDescent="0.2">
      <c r="A131" s="16" t="s">
        <v>181</v>
      </c>
      <c r="B131" s="17" t="s">
        <v>108</v>
      </c>
      <c r="C131" s="61">
        <v>1</v>
      </c>
      <c r="D131" s="18">
        <f>+D118</f>
        <v>275</v>
      </c>
      <c r="E131" s="18">
        <f t="shared" ref="E131:E132" si="6">C131*D131</f>
        <v>275</v>
      </c>
      <c r="G131" s="9"/>
    </row>
    <row r="132" spans="1:7" ht="13.5" thickBot="1" x14ac:dyDescent="0.25">
      <c r="A132" s="16" t="s">
        <v>4</v>
      </c>
      <c r="B132" s="17" t="s">
        <v>5</v>
      </c>
      <c r="C132" s="61">
        <f>E40</f>
        <v>1</v>
      </c>
      <c r="D132" s="18">
        <f>+SUM(E125:E131)</f>
        <v>442.98</v>
      </c>
      <c r="E132" s="18">
        <f t="shared" si="6"/>
        <v>442.98</v>
      </c>
      <c r="G132" s="9"/>
    </row>
    <row r="133" spans="1:7" ht="13.5" thickBot="1" x14ac:dyDescent="0.25">
      <c r="D133" s="101" t="s">
        <v>179</v>
      </c>
      <c r="E133" s="368">
        <f>$B$47</f>
        <v>0.8</v>
      </c>
      <c r="F133" s="102">
        <f>E132*E133</f>
        <v>354.38</v>
      </c>
      <c r="G133" s="9"/>
    </row>
    <row r="134" spans="1:7" ht="11.25" customHeight="1" thickBot="1" x14ac:dyDescent="0.25">
      <c r="G134" s="9"/>
    </row>
    <row r="135" spans="1:7" ht="13.5" thickBot="1" x14ac:dyDescent="0.25">
      <c r="A135" s="24" t="s">
        <v>183</v>
      </c>
      <c r="B135" s="28"/>
      <c r="C135" s="28"/>
      <c r="D135" s="29"/>
      <c r="E135" s="30"/>
      <c r="F135" s="21">
        <f>+F120+F133</f>
        <v>1121.47</v>
      </c>
      <c r="G135" s="9"/>
    </row>
    <row r="136" spans="1:7" ht="11.25" customHeight="1" x14ac:dyDescent="0.2">
      <c r="G136" s="9"/>
    </row>
    <row r="137" spans="1:7" x14ac:dyDescent="0.2">
      <c r="A137" s="11" t="s">
        <v>47</v>
      </c>
      <c r="G137" s="9"/>
    </row>
    <row r="138" spans="1:7" ht="11.25" customHeight="1" x14ac:dyDescent="0.2">
      <c r="B138" s="91"/>
      <c r="G138" s="9"/>
    </row>
    <row r="139" spans="1:7" x14ac:dyDescent="0.2">
      <c r="A139" s="7" t="s">
        <v>370</v>
      </c>
      <c r="G139" s="9"/>
    </row>
    <row r="140" spans="1:7" ht="11.25" customHeight="1" x14ac:dyDescent="0.2">
      <c r="G140" s="9"/>
    </row>
    <row r="141" spans="1:7" ht="13.5" thickBot="1" x14ac:dyDescent="0.25">
      <c r="A141" s="91" t="s">
        <v>39</v>
      </c>
      <c r="G141" s="9"/>
    </row>
    <row r="142" spans="1:7" ht="13.5" thickBot="1" x14ac:dyDescent="0.25">
      <c r="A142" s="53" t="s">
        <v>57</v>
      </c>
      <c r="B142" s="54" t="s">
        <v>58</v>
      </c>
      <c r="C142" s="54" t="s">
        <v>33</v>
      </c>
      <c r="D142" s="55" t="s">
        <v>214</v>
      </c>
      <c r="E142" s="55" t="s">
        <v>59</v>
      </c>
      <c r="F142" s="56" t="s">
        <v>60</v>
      </c>
      <c r="G142" s="9"/>
    </row>
    <row r="143" spans="1:7" x14ac:dyDescent="0.2">
      <c r="A143" s="13" t="s">
        <v>94</v>
      </c>
      <c r="B143" s="14" t="s">
        <v>8</v>
      </c>
      <c r="C143" s="14">
        <v>1</v>
      </c>
      <c r="D143" s="75">
        <f>'Plan Diversas'!G78</f>
        <v>530531</v>
      </c>
      <c r="E143" s="15">
        <f>C143*D143</f>
        <v>530531</v>
      </c>
      <c r="G143" s="9"/>
    </row>
    <row r="144" spans="1:7" x14ac:dyDescent="0.2">
      <c r="A144" s="16" t="s">
        <v>91</v>
      </c>
      <c r="B144" s="17" t="s">
        <v>92</v>
      </c>
      <c r="C144" s="74">
        <v>10</v>
      </c>
      <c r="D144" s="71"/>
      <c r="E144" s="18"/>
      <c r="G144" s="9"/>
    </row>
    <row r="145" spans="1:10" x14ac:dyDescent="0.2">
      <c r="A145" s="16" t="s">
        <v>190</v>
      </c>
      <c r="B145" s="17" t="s">
        <v>92</v>
      </c>
      <c r="C145" s="74">
        <v>0</v>
      </c>
      <c r="D145" s="18"/>
      <c r="E145" s="18"/>
      <c r="F145" s="20"/>
      <c r="I145" s="73"/>
      <c r="J145" s="73"/>
    </row>
    <row r="146" spans="1:10" x14ac:dyDescent="0.2">
      <c r="A146" s="16" t="s">
        <v>93</v>
      </c>
      <c r="B146" s="17" t="s">
        <v>1</v>
      </c>
      <c r="C146" s="480">
        <f>IFERROR(VLOOKUP(C144,'5. Depreciação'!$A$3:$B$17,2,FALSE),0)</f>
        <v>65.180000000000007</v>
      </c>
      <c r="D146" s="18">
        <f>E143</f>
        <v>530531</v>
      </c>
      <c r="E146" s="18">
        <f>C146*D146/100</f>
        <v>345800.11</v>
      </c>
    </row>
    <row r="147" spans="1:10" ht="13.5" thickBot="1" x14ac:dyDescent="0.25">
      <c r="A147" s="212" t="s">
        <v>43</v>
      </c>
      <c r="B147" s="213" t="s">
        <v>6</v>
      </c>
      <c r="C147" s="213">
        <f>C144*12</f>
        <v>120</v>
      </c>
      <c r="D147" s="214">
        <f>IF(C145&lt;=C144,E146,0)</f>
        <v>345800.11</v>
      </c>
      <c r="E147" s="214">
        <f>IFERROR(D147/C147,0)</f>
        <v>2881.67</v>
      </c>
    </row>
    <row r="148" spans="1:10" ht="13.5" thickTop="1" x14ac:dyDescent="0.2">
      <c r="A148" s="13" t="s">
        <v>371</v>
      </c>
      <c r="B148" s="14" t="s">
        <v>8</v>
      </c>
      <c r="C148" s="14">
        <f>C143</f>
        <v>1</v>
      </c>
      <c r="D148" s="75">
        <v>150000</v>
      </c>
      <c r="E148" s="15">
        <f>C148*D148</f>
        <v>150000</v>
      </c>
      <c r="G148" s="9"/>
    </row>
    <row r="149" spans="1:10" x14ac:dyDescent="0.2">
      <c r="A149" s="16" t="s">
        <v>372</v>
      </c>
      <c r="B149" s="17" t="s">
        <v>92</v>
      </c>
      <c r="C149" s="74">
        <v>10</v>
      </c>
      <c r="D149" s="18"/>
      <c r="E149" s="18"/>
    </row>
    <row r="150" spans="1:10" x14ac:dyDescent="0.2">
      <c r="A150" s="16" t="s">
        <v>373</v>
      </c>
      <c r="B150" s="17" t="s">
        <v>92</v>
      </c>
      <c r="C150" s="74">
        <v>0</v>
      </c>
      <c r="D150" s="18"/>
      <c r="E150" s="18"/>
      <c r="F150" s="20"/>
      <c r="I150" s="73"/>
      <c r="J150" s="73"/>
    </row>
    <row r="151" spans="1:10" x14ac:dyDescent="0.2">
      <c r="A151" s="16" t="s">
        <v>374</v>
      </c>
      <c r="B151" s="17" t="s">
        <v>1</v>
      </c>
      <c r="C151" s="481">
        <f>IFERROR(VLOOKUP(C149,'5. Depreciação'!A3:B17,2,FALSE),0)</f>
        <v>65.180000000000007</v>
      </c>
      <c r="D151" s="18">
        <f>E148</f>
        <v>150000</v>
      </c>
      <c r="E151" s="18">
        <f>C151*D151/100</f>
        <v>97770</v>
      </c>
    </row>
    <row r="152" spans="1:10" x14ac:dyDescent="0.2">
      <c r="A152" s="87" t="s">
        <v>375</v>
      </c>
      <c r="B152" s="88" t="s">
        <v>6</v>
      </c>
      <c r="C152" s="88">
        <f>C149*12</f>
        <v>120</v>
      </c>
      <c r="D152" s="89">
        <f>IF(C150&lt;=C149,E151,0)</f>
        <v>97770</v>
      </c>
      <c r="E152" s="89">
        <f>IFERROR(D152/C152,0)</f>
        <v>814.75</v>
      </c>
    </row>
    <row r="153" spans="1:10" x14ac:dyDescent="0.2">
      <c r="A153" s="96" t="s">
        <v>233</v>
      </c>
      <c r="B153" s="97"/>
      <c r="C153" s="97"/>
      <c r="D153" s="98"/>
      <c r="E153" s="99">
        <f>E147+E152</f>
        <v>3696.42</v>
      </c>
    </row>
    <row r="154" spans="1:10" ht="13.5" thickBot="1" x14ac:dyDescent="0.25">
      <c r="A154" s="87" t="s">
        <v>234</v>
      </c>
      <c r="B154" s="88" t="s">
        <v>8</v>
      </c>
      <c r="C154" s="74">
        <v>1</v>
      </c>
      <c r="D154" s="89">
        <f>E153</f>
        <v>3696.42</v>
      </c>
      <c r="E154" s="99">
        <f>C154*D154</f>
        <v>3696.42</v>
      </c>
    </row>
    <row r="155" spans="1:10" ht="13.5" thickBot="1" x14ac:dyDescent="0.25">
      <c r="A155" s="210"/>
      <c r="B155" s="210"/>
      <c r="C155" s="210"/>
      <c r="D155" s="101" t="s">
        <v>179</v>
      </c>
      <c r="E155" s="367">
        <f>$B$48</f>
        <v>0.8</v>
      </c>
      <c r="F155" s="21">
        <f>E154*E155</f>
        <v>2957.14</v>
      </c>
    </row>
    <row r="156" spans="1:10" ht="11.25" customHeight="1" x14ac:dyDescent="0.2"/>
    <row r="157" spans="1:10" ht="13.5" thickBot="1" x14ac:dyDescent="0.25">
      <c r="A157" s="91" t="s">
        <v>99</v>
      </c>
    </row>
    <row r="158" spans="1:10" ht="13.5" thickBot="1" x14ac:dyDescent="0.25">
      <c r="A158" s="53" t="s">
        <v>57</v>
      </c>
      <c r="B158" s="54" t="s">
        <v>58</v>
      </c>
      <c r="C158" s="54" t="s">
        <v>33</v>
      </c>
      <c r="D158" s="55" t="s">
        <v>214</v>
      </c>
      <c r="E158" s="55" t="s">
        <v>59</v>
      </c>
      <c r="F158" s="56" t="s">
        <v>60</v>
      </c>
      <c r="I158" s="73"/>
      <c r="J158" s="73"/>
    </row>
    <row r="159" spans="1:10" x14ac:dyDescent="0.2">
      <c r="A159" s="13" t="s">
        <v>97</v>
      </c>
      <c r="B159" s="14" t="s">
        <v>8</v>
      </c>
      <c r="C159" s="14">
        <v>1</v>
      </c>
      <c r="D159" s="15">
        <f>D143</f>
        <v>530531</v>
      </c>
      <c r="E159" s="15">
        <f>C159*D159</f>
        <v>530531</v>
      </c>
      <c r="F159" s="20"/>
      <c r="I159" s="73"/>
      <c r="J159" s="73"/>
    </row>
    <row r="160" spans="1:10" x14ac:dyDescent="0.2">
      <c r="A160" s="16" t="s">
        <v>193</v>
      </c>
      <c r="B160" s="17" t="s">
        <v>1</v>
      </c>
      <c r="C160" s="74">
        <v>11.25</v>
      </c>
      <c r="D160" s="18"/>
      <c r="E160" s="18"/>
      <c r="F160" s="20"/>
      <c r="I160" s="73"/>
      <c r="J160" s="73"/>
    </row>
    <row r="161" spans="1:10" x14ac:dyDescent="0.2">
      <c r="A161" s="16" t="s">
        <v>191</v>
      </c>
      <c r="B161" s="17" t="s">
        <v>28</v>
      </c>
      <c r="C161" s="118">
        <f>IFERROR(IF(C145&lt;=C144,E143-(C146/(100*C144)*C145)*E143,E143-E146),0)</f>
        <v>530531</v>
      </c>
      <c r="D161" s="18"/>
      <c r="E161" s="18"/>
      <c r="F161" s="20"/>
      <c r="I161" s="73"/>
      <c r="J161" s="73"/>
    </row>
    <row r="162" spans="1:10" x14ac:dyDescent="0.2">
      <c r="A162" s="16" t="s">
        <v>102</v>
      </c>
      <c r="B162" s="17" t="s">
        <v>28</v>
      </c>
      <c r="C162" s="71">
        <f>IFERROR(IF(C145&gt;=C144,C161,((((C161)-(E143-E146))*(((C144-C145)+1)/(2*(C144-C145))))+(E143-E146))),0)</f>
        <v>374920.95</v>
      </c>
      <c r="D162" s="18"/>
      <c r="E162" s="18"/>
      <c r="F162" s="20"/>
      <c r="I162" s="73"/>
      <c r="J162" s="73"/>
    </row>
    <row r="163" spans="1:10" ht="13.5" thickBot="1" x14ac:dyDescent="0.25">
      <c r="A163" s="212" t="s">
        <v>103</v>
      </c>
      <c r="B163" s="213" t="s">
        <v>28</v>
      </c>
      <c r="C163" s="213"/>
      <c r="D163" s="215">
        <f>C160*C162/12/100</f>
        <v>3514.88</v>
      </c>
      <c r="E163" s="214">
        <f>D163</f>
        <v>3514.88</v>
      </c>
      <c r="F163" s="20"/>
      <c r="I163" s="73"/>
      <c r="J163" s="73"/>
    </row>
    <row r="164" spans="1:10" ht="13.5" thickTop="1" x14ac:dyDescent="0.2">
      <c r="A164" s="13" t="s">
        <v>98</v>
      </c>
      <c r="B164" s="14" t="s">
        <v>8</v>
      </c>
      <c r="C164" s="14">
        <f>C148</f>
        <v>1</v>
      </c>
      <c r="D164" s="15">
        <f>D148</f>
        <v>150000</v>
      </c>
      <c r="E164" s="15">
        <f>C164*D164</f>
        <v>150000</v>
      </c>
      <c r="F164" s="20"/>
      <c r="I164" s="73"/>
      <c r="J164" s="73"/>
    </row>
    <row r="165" spans="1:10" x14ac:dyDescent="0.2">
      <c r="A165" s="16" t="s">
        <v>193</v>
      </c>
      <c r="B165" s="17" t="s">
        <v>1</v>
      </c>
      <c r="C165" s="17">
        <f>C160</f>
        <v>11.25</v>
      </c>
      <c r="D165" s="18"/>
      <c r="E165" s="18"/>
      <c r="F165" s="20"/>
      <c r="I165" s="73"/>
      <c r="J165" s="73"/>
    </row>
    <row r="166" spans="1:10" x14ac:dyDescent="0.2">
      <c r="A166" s="16" t="s">
        <v>192</v>
      </c>
      <c r="B166" s="17" t="s">
        <v>28</v>
      </c>
      <c r="C166" s="118">
        <f>IFERROR(IF(C150&lt;=C149,E148-(C151/(100*C149)*C150)*E148,E148-E151),0)</f>
        <v>150000</v>
      </c>
      <c r="D166" s="18"/>
      <c r="E166" s="18"/>
      <c r="F166" s="20"/>
      <c r="I166" s="73"/>
      <c r="J166" s="73"/>
    </row>
    <row r="167" spans="1:10" x14ac:dyDescent="0.2">
      <c r="A167" s="16" t="s">
        <v>104</v>
      </c>
      <c r="B167" s="17" t="s">
        <v>28</v>
      </c>
      <c r="C167" s="71">
        <f>IFERROR(IF(C150&gt;=C149,C166,((((C166)-(E148-E151))*(((C149-C150)+1)/(2*(C149-C150))))+(E148-E151))),0)</f>
        <v>106003.5</v>
      </c>
      <c r="D167" s="18"/>
      <c r="E167" s="18"/>
      <c r="F167" s="20"/>
      <c r="I167" s="73"/>
      <c r="J167" s="73"/>
    </row>
    <row r="168" spans="1:10" x14ac:dyDescent="0.2">
      <c r="A168" s="87" t="s">
        <v>101</v>
      </c>
      <c r="B168" s="88" t="s">
        <v>28</v>
      </c>
      <c r="C168" s="88"/>
      <c r="D168" s="94">
        <f>C165*C167/12/100</f>
        <v>993.78</v>
      </c>
      <c r="E168" s="89">
        <f>D168</f>
        <v>993.78</v>
      </c>
      <c r="F168" s="20"/>
      <c r="I168" s="73"/>
      <c r="J168" s="73"/>
    </row>
    <row r="169" spans="1:10" x14ac:dyDescent="0.2">
      <c r="A169" s="96" t="s">
        <v>233</v>
      </c>
      <c r="B169" s="97"/>
      <c r="C169" s="97"/>
      <c r="D169" s="98"/>
      <c r="E169" s="99">
        <f>E163+E168</f>
        <v>4508.66</v>
      </c>
      <c r="F169" s="20"/>
      <c r="I169" s="73"/>
      <c r="J169" s="73"/>
    </row>
    <row r="170" spans="1:10" ht="13.5" thickBot="1" x14ac:dyDescent="0.25">
      <c r="A170" s="87" t="s">
        <v>234</v>
      </c>
      <c r="B170" s="88" t="s">
        <v>8</v>
      </c>
      <c r="C170" s="17">
        <f>C154</f>
        <v>1</v>
      </c>
      <c r="D170" s="89">
        <f>E169</f>
        <v>4508.66</v>
      </c>
      <c r="E170" s="99">
        <f>C170*D170</f>
        <v>4508.66</v>
      </c>
      <c r="F170" s="20"/>
      <c r="I170" s="73"/>
      <c r="J170" s="73"/>
    </row>
    <row r="171" spans="1:10" ht="13.5" thickBot="1" x14ac:dyDescent="0.25">
      <c r="C171" s="19"/>
      <c r="D171" s="101" t="s">
        <v>179</v>
      </c>
      <c r="E171" s="367">
        <f>$B$48</f>
        <v>0.8</v>
      </c>
      <c r="F171" s="21">
        <f>E170*E171</f>
        <v>3606.93</v>
      </c>
      <c r="I171" s="73"/>
      <c r="J171" s="73"/>
    </row>
    <row r="172" spans="1:10" ht="11.25" customHeight="1" x14ac:dyDescent="0.2">
      <c r="I172" s="73"/>
      <c r="J172" s="73"/>
    </row>
    <row r="173" spans="1:10" ht="13.5" thickBot="1" x14ac:dyDescent="0.25">
      <c r="A173" s="9" t="s">
        <v>44</v>
      </c>
      <c r="I173" s="73"/>
      <c r="J173" s="73"/>
    </row>
    <row r="174" spans="1:10" ht="13.5" thickBot="1" x14ac:dyDescent="0.25">
      <c r="A174" s="53" t="s">
        <v>57</v>
      </c>
      <c r="B174" s="54" t="s">
        <v>58</v>
      </c>
      <c r="C174" s="54" t="s">
        <v>33</v>
      </c>
      <c r="D174" s="55" t="s">
        <v>214</v>
      </c>
      <c r="E174" s="55" t="s">
        <v>59</v>
      </c>
      <c r="F174" s="56" t="s">
        <v>60</v>
      </c>
      <c r="I174" s="73"/>
      <c r="J174" s="73"/>
    </row>
    <row r="175" spans="1:10" x14ac:dyDescent="0.2">
      <c r="A175" s="13" t="s">
        <v>10</v>
      </c>
      <c r="B175" s="14" t="s">
        <v>8</v>
      </c>
      <c r="C175" s="15">
        <f>C154</f>
        <v>1</v>
      </c>
      <c r="D175" s="15">
        <f>0.01*($E$143)</f>
        <v>5305.31</v>
      </c>
      <c r="E175" s="15">
        <f>C175*D175</f>
        <v>5305.31</v>
      </c>
      <c r="I175" s="73"/>
      <c r="J175" s="73"/>
    </row>
    <row r="176" spans="1:10" x14ac:dyDescent="0.2">
      <c r="A176" s="16" t="s">
        <v>178</v>
      </c>
      <c r="B176" s="17" t="s">
        <v>8</v>
      </c>
      <c r="C176" s="15">
        <f>C154</f>
        <v>1</v>
      </c>
      <c r="D176" s="76">
        <v>99.65</v>
      </c>
      <c r="E176" s="18">
        <f>C176*D176</f>
        <v>99.65</v>
      </c>
      <c r="I176" s="73"/>
      <c r="J176" s="73"/>
    </row>
    <row r="177" spans="1:10" x14ac:dyDescent="0.2">
      <c r="A177" s="16" t="s">
        <v>11</v>
      </c>
      <c r="B177" s="17" t="s">
        <v>8</v>
      </c>
      <c r="C177" s="15">
        <f>C154</f>
        <v>1</v>
      </c>
      <c r="D177" s="76">
        <v>0</v>
      </c>
      <c r="E177" s="18">
        <f>C177*D177</f>
        <v>0</v>
      </c>
      <c r="F177" s="31"/>
      <c r="I177" s="73"/>
      <c r="J177" s="73"/>
    </row>
    <row r="178" spans="1:10" ht="13.5" thickBot="1" x14ac:dyDescent="0.25">
      <c r="A178" s="87" t="s">
        <v>12</v>
      </c>
      <c r="B178" s="88" t="s">
        <v>6</v>
      </c>
      <c r="C178" s="88">
        <v>12</v>
      </c>
      <c r="D178" s="89">
        <f>SUM(E175:E177)</f>
        <v>5404.96</v>
      </c>
      <c r="E178" s="89">
        <f>D178/C178</f>
        <v>450.41</v>
      </c>
      <c r="I178" s="73"/>
      <c r="J178" s="73"/>
    </row>
    <row r="179" spans="1:10" ht="13.5" thickBot="1" x14ac:dyDescent="0.25">
      <c r="D179" s="101" t="s">
        <v>179</v>
      </c>
      <c r="E179" s="367">
        <f>$B$48</f>
        <v>0.8</v>
      </c>
      <c r="F179" s="102">
        <f>E178*E179</f>
        <v>360.33</v>
      </c>
      <c r="I179" s="73"/>
      <c r="J179" s="73"/>
    </row>
    <row r="180" spans="1:10" x14ac:dyDescent="0.2">
      <c r="D180" s="101"/>
      <c r="E180" s="412"/>
      <c r="F180" s="412"/>
      <c r="I180" s="73"/>
      <c r="J180" s="73"/>
    </row>
    <row r="181" spans="1:10" x14ac:dyDescent="0.2">
      <c r="D181" s="101"/>
      <c r="E181" s="412"/>
      <c r="F181" s="412"/>
      <c r="I181" s="73"/>
      <c r="J181" s="73"/>
    </row>
    <row r="182" spans="1:10" x14ac:dyDescent="0.2">
      <c r="A182" s="9" t="s">
        <v>45</v>
      </c>
      <c r="B182" s="32"/>
      <c r="I182" s="73"/>
      <c r="J182" s="73"/>
    </row>
    <row r="183" spans="1:10" x14ac:dyDescent="0.2">
      <c r="B183" s="32"/>
      <c r="I183" s="73"/>
      <c r="J183" s="73"/>
    </row>
    <row r="184" spans="1:10" x14ac:dyDescent="0.2">
      <c r="A184" s="402" t="s">
        <v>355</v>
      </c>
      <c r="B184" s="403"/>
      <c r="C184" s="477">
        <f>'Plan Diversas'!F25</f>
        <v>2370</v>
      </c>
      <c r="I184" s="73"/>
      <c r="J184" s="73"/>
    </row>
    <row r="185" spans="1:10" x14ac:dyDescent="0.2">
      <c r="A185" s="402" t="s">
        <v>356</v>
      </c>
      <c r="B185" s="403"/>
      <c r="C185" s="477">
        <f>'Plan Diversas'!C25+'Plan Diversas'!C35+'Plan Diversas'!F60</f>
        <v>982</v>
      </c>
      <c r="I185" s="73"/>
      <c r="J185" s="73"/>
    </row>
    <row r="186" spans="1:10" ht="13.5" thickBot="1" x14ac:dyDescent="0.25">
      <c r="B186" s="32"/>
      <c r="I186" s="73"/>
      <c r="J186" s="73"/>
    </row>
    <row r="187" spans="1:10" ht="13.5" thickBot="1" x14ac:dyDescent="0.25">
      <c r="A187" s="53" t="s">
        <v>57</v>
      </c>
      <c r="B187" s="54" t="s">
        <v>58</v>
      </c>
      <c r="C187" s="54" t="s">
        <v>232</v>
      </c>
      <c r="D187" s="55" t="s">
        <v>214</v>
      </c>
      <c r="E187" s="55" t="s">
        <v>59</v>
      </c>
      <c r="F187" s="56" t="s">
        <v>60</v>
      </c>
      <c r="I187" s="73"/>
      <c r="J187" s="73"/>
    </row>
    <row r="188" spans="1:10" x14ac:dyDescent="0.2">
      <c r="A188" s="230" t="s">
        <v>358</v>
      </c>
      <c r="B188" s="14" t="s">
        <v>13</v>
      </c>
      <c r="C188" s="82">
        <v>3.5</v>
      </c>
      <c r="D188" s="83">
        <v>6.1</v>
      </c>
      <c r="E188" s="15"/>
      <c r="I188" s="73"/>
      <c r="J188" s="73"/>
    </row>
    <row r="189" spans="1:10" x14ac:dyDescent="0.2">
      <c r="A189" s="384" t="s">
        <v>359</v>
      </c>
      <c r="B189" s="17" t="s">
        <v>14</v>
      </c>
      <c r="C189" s="80">
        <f>C184</f>
        <v>2370</v>
      </c>
      <c r="D189" s="209">
        <f>IFERROR(+D188/C188,"-")</f>
        <v>1.7430000000000001</v>
      </c>
      <c r="E189" s="18">
        <f>IFERROR(C189*D189,"-")</f>
        <v>4130.91</v>
      </c>
      <c r="I189" s="73"/>
      <c r="J189" s="73"/>
    </row>
    <row r="190" spans="1:10" x14ac:dyDescent="0.2">
      <c r="A190" s="230" t="s">
        <v>434</v>
      </c>
      <c r="B190" s="14" t="s">
        <v>13</v>
      </c>
      <c r="C190" s="82">
        <v>2.5</v>
      </c>
      <c r="D190" s="83">
        <v>6.1</v>
      </c>
      <c r="E190" s="18"/>
      <c r="I190" s="73"/>
      <c r="J190" s="73"/>
    </row>
    <row r="191" spans="1:10" x14ac:dyDescent="0.2">
      <c r="A191" s="384" t="s">
        <v>360</v>
      </c>
      <c r="B191" s="17" t="s">
        <v>14</v>
      </c>
      <c r="C191" s="80">
        <f>C185</f>
        <v>982</v>
      </c>
      <c r="D191" s="209">
        <f>IFERROR(+D190/C190,"-")</f>
        <v>2.44</v>
      </c>
      <c r="E191" s="18">
        <f>IFERROR(C191*D191,"-")</f>
        <v>2396.08</v>
      </c>
      <c r="I191" s="73"/>
      <c r="J191" s="73"/>
    </row>
    <row r="192" spans="1:10" x14ac:dyDescent="0.2">
      <c r="A192" s="16" t="s">
        <v>215</v>
      </c>
      <c r="B192" s="17" t="s">
        <v>15</v>
      </c>
      <c r="C192" s="85">
        <v>4.91</v>
      </c>
      <c r="D192" s="76">
        <v>16.149999999999999</v>
      </c>
      <c r="E192" s="18"/>
      <c r="G192" s="93"/>
      <c r="I192" s="73"/>
      <c r="J192" s="73"/>
    </row>
    <row r="193" spans="1:10" x14ac:dyDescent="0.2">
      <c r="A193" s="16" t="s">
        <v>16</v>
      </c>
      <c r="B193" s="17" t="s">
        <v>14</v>
      </c>
      <c r="C193" s="80">
        <f>($C$184+$C$185)</f>
        <v>3352</v>
      </c>
      <c r="D193" s="206">
        <f>+C192*D192/1000</f>
        <v>7.9000000000000001E-2</v>
      </c>
      <c r="E193" s="18">
        <f>C193*D193</f>
        <v>264.81</v>
      </c>
      <c r="G193" s="93"/>
      <c r="I193" s="73"/>
      <c r="J193" s="73"/>
    </row>
    <row r="194" spans="1:10" x14ac:dyDescent="0.2">
      <c r="A194" s="16" t="s">
        <v>216</v>
      </c>
      <c r="B194" s="17" t="s">
        <v>15</v>
      </c>
      <c r="C194" s="85">
        <v>0.73</v>
      </c>
      <c r="D194" s="76">
        <v>17.21</v>
      </c>
      <c r="E194" s="18"/>
      <c r="G194" s="93"/>
      <c r="I194" s="73"/>
      <c r="J194" s="73"/>
    </row>
    <row r="195" spans="1:10" x14ac:dyDescent="0.2">
      <c r="A195" s="16" t="s">
        <v>17</v>
      </c>
      <c r="B195" s="17" t="s">
        <v>14</v>
      </c>
      <c r="C195" s="80">
        <f>($C$184+$C$185)</f>
        <v>3352</v>
      </c>
      <c r="D195" s="206">
        <f>+C194*D194/1000</f>
        <v>1.2999999999999999E-2</v>
      </c>
      <c r="E195" s="18">
        <f>C195*D195</f>
        <v>43.58</v>
      </c>
      <c r="G195" s="93"/>
      <c r="I195" s="73"/>
      <c r="J195" s="73"/>
    </row>
    <row r="196" spans="1:10" x14ac:dyDescent="0.2">
      <c r="A196" s="16" t="s">
        <v>217</v>
      </c>
      <c r="B196" s="17" t="s">
        <v>15</v>
      </c>
      <c r="C196" s="85">
        <v>3.67</v>
      </c>
      <c r="D196" s="76">
        <v>17.399999999999999</v>
      </c>
      <c r="E196" s="18"/>
      <c r="G196" s="93"/>
      <c r="I196" s="73"/>
      <c r="J196" s="73"/>
    </row>
    <row r="197" spans="1:10" x14ac:dyDescent="0.2">
      <c r="A197" s="16" t="s">
        <v>18</v>
      </c>
      <c r="B197" s="17" t="s">
        <v>14</v>
      </c>
      <c r="C197" s="80">
        <f>($C$184+$C$185)</f>
        <v>3352</v>
      </c>
      <c r="D197" s="206">
        <f>+C196*D196/1000</f>
        <v>6.4000000000000001E-2</v>
      </c>
      <c r="E197" s="18">
        <f>C197*D197</f>
        <v>214.53</v>
      </c>
      <c r="G197" s="93"/>
      <c r="I197" s="73"/>
      <c r="J197" s="73"/>
    </row>
    <row r="198" spans="1:10" x14ac:dyDescent="0.2">
      <c r="A198" s="16" t="s">
        <v>19</v>
      </c>
      <c r="B198" s="17" t="s">
        <v>20</v>
      </c>
      <c r="C198" s="85">
        <v>2</v>
      </c>
      <c r="D198" s="76">
        <v>26.47</v>
      </c>
      <c r="E198" s="18"/>
      <c r="G198" s="93"/>
      <c r="I198" s="73"/>
      <c r="J198" s="73"/>
    </row>
    <row r="199" spans="1:10" x14ac:dyDescent="0.2">
      <c r="A199" s="16" t="s">
        <v>21</v>
      </c>
      <c r="B199" s="17" t="s">
        <v>14</v>
      </c>
      <c r="C199" s="80">
        <f>($C$184+$C$185)</f>
        <v>3352</v>
      </c>
      <c r="D199" s="206">
        <f>+C198*D198/1000</f>
        <v>5.2999999999999999E-2</v>
      </c>
      <c r="E199" s="18">
        <f>C199*D199</f>
        <v>177.66</v>
      </c>
      <c r="G199" s="93"/>
      <c r="I199" s="73"/>
      <c r="J199" s="73"/>
    </row>
    <row r="200" spans="1:10" ht="13.5" thickBot="1" x14ac:dyDescent="0.25">
      <c r="A200" s="87" t="s">
        <v>231</v>
      </c>
      <c r="B200" s="88" t="s">
        <v>106</v>
      </c>
      <c r="C200" s="207"/>
      <c r="D200" s="208">
        <f>IFERROR(D189+D193+D195+D197+D199,0)</f>
        <v>1.952</v>
      </c>
      <c r="E200" s="18"/>
      <c r="G200" s="93"/>
      <c r="I200" s="73"/>
      <c r="J200" s="73"/>
    </row>
    <row r="201" spans="1:10" ht="13.5" thickBot="1" x14ac:dyDescent="0.25">
      <c r="F201" s="21">
        <f>SUM(E188:E199)</f>
        <v>7227.57</v>
      </c>
      <c r="I201" s="73"/>
      <c r="J201" s="73"/>
    </row>
    <row r="202" spans="1:10" ht="13.5" thickBot="1" x14ac:dyDescent="0.25">
      <c r="A202" s="9" t="s">
        <v>46</v>
      </c>
      <c r="I202" s="73"/>
      <c r="J202" s="73"/>
    </row>
    <row r="203" spans="1:10" ht="13.5" thickBot="1" x14ac:dyDescent="0.25">
      <c r="A203" s="53" t="s">
        <v>57</v>
      </c>
      <c r="B203" s="54" t="s">
        <v>58</v>
      </c>
      <c r="C203" s="54" t="s">
        <v>33</v>
      </c>
      <c r="D203" s="55" t="s">
        <v>214</v>
      </c>
      <c r="E203" s="55" t="s">
        <v>59</v>
      </c>
      <c r="F203" s="56" t="s">
        <v>60</v>
      </c>
      <c r="I203" s="73"/>
      <c r="J203" s="73"/>
    </row>
    <row r="204" spans="1:10" ht="13.5" thickBot="1" x14ac:dyDescent="0.25">
      <c r="A204" s="13" t="s">
        <v>105</v>
      </c>
      <c r="B204" s="14" t="s">
        <v>106</v>
      </c>
      <c r="C204" s="80">
        <f>C189+C185</f>
        <v>3352</v>
      </c>
      <c r="D204" s="75">
        <v>1.1000000000000001</v>
      </c>
      <c r="E204" s="15">
        <f>C204*D204</f>
        <v>3687.2</v>
      </c>
      <c r="I204" s="73"/>
      <c r="J204" s="73"/>
    </row>
    <row r="205" spans="1:10" ht="13.5" thickBot="1" x14ac:dyDescent="0.25">
      <c r="F205" s="21">
        <f>E204</f>
        <v>3687.2</v>
      </c>
      <c r="I205" s="73"/>
      <c r="J205" s="73"/>
    </row>
    <row r="206" spans="1:10" ht="11.25" customHeight="1" x14ac:dyDescent="0.2">
      <c r="I206" s="73"/>
      <c r="J206" s="73"/>
    </row>
    <row r="207" spans="1:10" ht="13.5" thickBot="1" x14ac:dyDescent="0.25">
      <c r="A207" s="9" t="s">
        <v>55</v>
      </c>
      <c r="I207" s="73"/>
      <c r="J207" s="73"/>
    </row>
    <row r="208" spans="1:10" ht="13.5" thickBot="1" x14ac:dyDescent="0.25">
      <c r="A208" s="53" t="s">
        <v>57</v>
      </c>
      <c r="B208" s="54" t="s">
        <v>58</v>
      </c>
      <c r="C208" s="54" t="s">
        <v>33</v>
      </c>
      <c r="D208" s="55" t="s">
        <v>214</v>
      </c>
      <c r="E208" s="55" t="s">
        <v>59</v>
      </c>
      <c r="F208" s="56" t="s">
        <v>60</v>
      </c>
      <c r="I208" s="73"/>
      <c r="J208" s="73"/>
    </row>
    <row r="209" spans="1:10" x14ac:dyDescent="0.2">
      <c r="A209" s="230" t="s">
        <v>351</v>
      </c>
      <c r="B209" s="14" t="s">
        <v>8</v>
      </c>
      <c r="C209" s="81">
        <v>6</v>
      </c>
      <c r="D209" s="75">
        <v>2190</v>
      </c>
      <c r="E209" s="15">
        <f>C209*D209</f>
        <v>13140</v>
      </c>
      <c r="I209" s="73"/>
      <c r="J209" s="73"/>
    </row>
    <row r="210" spans="1:10" x14ac:dyDescent="0.2">
      <c r="A210" s="13" t="s">
        <v>107</v>
      </c>
      <c r="B210" s="14" t="s">
        <v>8</v>
      </c>
      <c r="C210" s="81">
        <v>1</v>
      </c>
      <c r="D210" s="90"/>
      <c r="E210" s="15"/>
      <c r="I210" s="73"/>
      <c r="J210" s="73"/>
    </row>
    <row r="211" spans="1:10" x14ac:dyDescent="0.2">
      <c r="A211" s="13" t="s">
        <v>64</v>
      </c>
      <c r="B211" s="14" t="s">
        <v>8</v>
      </c>
      <c r="C211" s="15">
        <f>C209*C210</f>
        <v>6</v>
      </c>
      <c r="D211" s="75">
        <v>790</v>
      </c>
      <c r="E211" s="15">
        <f>C211*D211</f>
        <v>4740</v>
      </c>
      <c r="I211" s="73"/>
      <c r="J211" s="73"/>
    </row>
    <row r="212" spans="1:10" x14ac:dyDescent="0.2">
      <c r="A212" s="384" t="s">
        <v>352</v>
      </c>
      <c r="B212" s="17" t="s">
        <v>22</v>
      </c>
      <c r="C212" s="84">
        <v>80000</v>
      </c>
      <c r="D212" s="18">
        <f>E209+E211</f>
        <v>17880</v>
      </c>
      <c r="E212" s="18">
        <f>IFERROR(D212/C212,"-")</f>
        <v>0.22</v>
      </c>
      <c r="I212" s="73"/>
      <c r="J212" s="73"/>
    </row>
    <row r="213" spans="1:10" ht="13.5" thickBot="1" x14ac:dyDescent="0.25">
      <c r="A213" s="16" t="s">
        <v>48</v>
      </c>
      <c r="B213" s="17" t="s">
        <v>14</v>
      </c>
      <c r="C213" s="80">
        <f>C184</f>
        <v>2370</v>
      </c>
      <c r="D213" s="18">
        <f>E212</f>
        <v>0.22</v>
      </c>
      <c r="E213" s="18">
        <f>IFERROR(C213*D213,0)</f>
        <v>521.4</v>
      </c>
      <c r="I213" s="73"/>
      <c r="J213" s="73"/>
    </row>
    <row r="214" spans="1:10" ht="13.5" thickBot="1" x14ac:dyDescent="0.25">
      <c r="F214" s="21">
        <f>E213</f>
        <v>521.4</v>
      </c>
      <c r="I214" s="73"/>
      <c r="J214" s="73"/>
    </row>
    <row r="215" spans="1:10" ht="11.25" customHeight="1" thickBot="1" x14ac:dyDescent="0.25">
      <c r="G215" s="9"/>
    </row>
    <row r="216" spans="1:10" ht="13.5" thickBot="1" x14ac:dyDescent="0.25">
      <c r="A216" s="24" t="s">
        <v>202</v>
      </c>
      <c r="B216" s="25"/>
      <c r="C216" s="25"/>
      <c r="D216" s="26"/>
      <c r="E216" s="27"/>
      <c r="F216" s="21">
        <f>+SUM(F143:F215)</f>
        <v>18360.57</v>
      </c>
      <c r="G216" s="9"/>
    </row>
    <row r="217" spans="1:10" ht="11.25" customHeight="1" x14ac:dyDescent="0.2">
      <c r="G217" s="9"/>
    </row>
    <row r="218" spans="1:10" x14ac:dyDescent="0.2">
      <c r="A218" s="11" t="s">
        <v>68</v>
      </c>
      <c r="B218" s="11"/>
      <c r="C218" s="11"/>
      <c r="D218" s="34"/>
      <c r="E218" s="34"/>
      <c r="F218" s="33"/>
      <c r="G218" s="9"/>
    </row>
    <row r="219" spans="1:10" ht="11.25" customHeight="1" thickBot="1" x14ac:dyDescent="0.25">
      <c r="G219" s="9"/>
    </row>
    <row r="220" spans="1:10" ht="13.5" thickBot="1" x14ac:dyDescent="0.25">
      <c r="A220" s="53" t="s">
        <v>57</v>
      </c>
      <c r="B220" s="54" t="s">
        <v>58</v>
      </c>
      <c r="C220" s="54" t="s">
        <v>33</v>
      </c>
      <c r="D220" s="55" t="s">
        <v>214</v>
      </c>
      <c r="E220" s="55" t="s">
        <v>59</v>
      </c>
      <c r="F220" s="56" t="s">
        <v>60</v>
      </c>
      <c r="G220" s="9"/>
    </row>
    <row r="221" spans="1:10" x14ac:dyDescent="0.2">
      <c r="A221" s="16" t="s">
        <v>65</v>
      </c>
      <c r="B221" s="17" t="s">
        <v>8</v>
      </c>
      <c r="C221" s="419">
        <v>0.16666666666666666</v>
      </c>
      <c r="D221" s="75">
        <v>54.9</v>
      </c>
      <c r="E221" s="18">
        <f>C221*D221</f>
        <v>9.15</v>
      </c>
      <c r="F221" s="49"/>
      <c r="G221" s="9"/>
    </row>
    <row r="222" spans="1:10" x14ac:dyDescent="0.2">
      <c r="A222" s="16" t="s">
        <v>23</v>
      </c>
      <c r="B222" s="17" t="s">
        <v>8</v>
      </c>
      <c r="C222" s="419">
        <v>0.25</v>
      </c>
      <c r="D222" s="75">
        <v>44.9</v>
      </c>
      <c r="E222" s="18">
        <f>C222*D222</f>
        <v>11.23</v>
      </c>
      <c r="F222" s="49"/>
      <c r="G222" s="9"/>
    </row>
    <row r="223" spans="1:10" x14ac:dyDescent="0.2">
      <c r="A223" s="16" t="s">
        <v>24</v>
      </c>
      <c r="B223" s="17" t="s">
        <v>8</v>
      </c>
      <c r="C223" s="419">
        <v>0.16666666666666666</v>
      </c>
      <c r="D223" s="75">
        <v>24.9</v>
      </c>
      <c r="E223" s="18">
        <f>C223*D223</f>
        <v>4.1500000000000004</v>
      </c>
      <c r="F223" s="49"/>
      <c r="G223" s="9"/>
    </row>
    <row r="224" spans="1:10" x14ac:dyDescent="0.2">
      <c r="A224" s="16" t="s">
        <v>50</v>
      </c>
      <c r="B224" s="17" t="s">
        <v>51</v>
      </c>
      <c r="C224" s="77">
        <v>0</v>
      </c>
      <c r="D224" s="75">
        <v>0</v>
      </c>
      <c r="E224" s="18">
        <f>C224*D224</f>
        <v>0</v>
      </c>
      <c r="F224" s="49"/>
      <c r="G224" s="9"/>
    </row>
    <row r="225" spans="1:7" ht="13.5" thickBot="1" x14ac:dyDescent="0.25">
      <c r="A225" s="16" t="s">
        <v>53</v>
      </c>
      <c r="B225" s="17" t="s">
        <v>51</v>
      </c>
      <c r="C225" s="77">
        <v>0</v>
      </c>
      <c r="D225" s="420">
        <v>0</v>
      </c>
      <c r="E225" s="421">
        <f>C225*D225</f>
        <v>0</v>
      </c>
      <c r="F225" s="49"/>
      <c r="G225" s="9"/>
    </row>
    <row r="226" spans="1:7" ht="13.5" thickBot="1" x14ac:dyDescent="0.25">
      <c r="A226" s="11"/>
      <c r="B226" s="11"/>
      <c r="C226" s="11"/>
      <c r="D226" s="422" t="s">
        <v>367</v>
      </c>
      <c r="E226" s="423">
        <v>1</v>
      </c>
      <c r="F226" s="102">
        <f>SUM(E221:E225)*E226</f>
        <v>24.53</v>
      </c>
      <c r="G226" s="9"/>
    </row>
    <row r="227" spans="1:7" ht="11.25" customHeight="1" thickBot="1" x14ac:dyDescent="0.25">
      <c r="G227" s="9"/>
    </row>
    <row r="228" spans="1:7" ht="13.5" thickBot="1" x14ac:dyDescent="0.25">
      <c r="A228" s="24" t="s">
        <v>203</v>
      </c>
      <c r="B228" s="25"/>
      <c r="C228" s="25"/>
      <c r="D228" s="26"/>
      <c r="E228" s="27"/>
      <c r="F228" s="21">
        <f>+F226</f>
        <v>24.53</v>
      </c>
      <c r="G228" s="9"/>
    </row>
    <row r="229" spans="1:7" ht="11.25" customHeight="1" x14ac:dyDescent="0.2">
      <c r="G229" s="9"/>
    </row>
    <row r="230" spans="1:7" x14ac:dyDescent="0.2">
      <c r="A230" s="11" t="s">
        <v>69</v>
      </c>
      <c r="B230" s="11"/>
      <c r="C230" s="11"/>
      <c r="D230" s="34"/>
      <c r="E230" s="34"/>
      <c r="F230" s="33"/>
    </row>
    <row r="231" spans="1:7" ht="11.25" customHeight="1" thickBot="1" x14ac:dyDescent="0.25"/>
    <row r="232" spans="1:7" ht="13.5" thickBot="1" x14ac:dyDescent="0.25">
      <c r="A232" s="53" t="s">
        <v>57</v>
      </c>
      <c r="B232" s="54" t="s">
        <v>58</v>
      </c>
      <c r="C232" s="54" t="s">
        <v>33</v>
      </c>
      <c r="D232" s="55" t="s">
        <v>214</v>
      </c>
      <c r="E232" s="55" t="s">
        <v>59</v>
      </c>
      <c r="F232" s="56" t="s">
        <v>60</v>
      </c>
    </row>
    <row r="233" spans="1:7" x14ac:dyDescent="0.2">
      <c r="A233" s="16" t="s">
        <v>200</v>
      </c>
      <c r="B233" s="48" t="s">
        <v>51</v>
      </c>
      <c r="C233" s="61">
        <f>+C154</f>
        <v>1</v>
      </c>
      <c r="D233" s="413">
        <v>350</v>
      </c>
      <c r="E233" s="414">
        <f>+D233*C233</f>
        <v>350</v>
      </c>
      <c r="F233" s="49"/>
    </row>
    <row r="234" spans="1:7" x14ac:dyDescent="0.2">
      <c r="A234" s="16" t="s">
        <v>54</v>
      </c>
      <c r="B234" s="48" t="s">
        <v>6</v>
      </c>
      <c r="C234" s="17">
        <v>60</v>
      </c>
      <c r="D234" s="414">
        <f>SUM(E233:E233)</f>
        <v>350</v>
      </c>
      <c r="E234" s="414">
        <f>+D234/C234</f>
        <v>5.83</v>
      </c>
      <c r="F234" s="49"/>
    </row>
    <row r="235" spans="1:7" x14ac:dyDescent="0.2">
      <c r="A235" s="16" t="s">
        <v>201</v>
      </c>
      <c r="B235" s="17" t="s">
        <v>8</v>
      </c>
      <c r="C235" s="61">
        <f>+C233</f>
        <v>1</v>
      </c>
      <c r="D235" s="413">
        <v>150</v>
      </c>
      <c r="E235" s="414">
        <f>C235*D235</f>
        <v>150</v>
      </c>
      <c r="F235" s="49"/>
    </row>
    <row r="236" spans="1:7" ht="13.5" thickBot="1" x14ac:dyDescent="0.25">
      <c r="A236" s="16" t="s">
        <v>30</v>
      </c>
      <c r="B236" s="48" t="s">
        <v>6</v>
      </c>
      <c r="C236" s="17">
        <v>1</v>
      </c>
      <c r="D236" s="414">
        <f>+E235</f>
        <v>150</v>
      </c>
      <c r="E236" s="414">
        <f>+D236/C236</f>
        <v>150</v>
      </c>
      <c r="F236" s="49"/>
    </row>
    <row r="237" spans="1:7" ht="13.5" thickBot="1" x14ac:dyDescent="0.25">
      <c r="A237" s="12"/>
      <c r="B237" s="12"/>
      <c r="C237" s="12"/>
      <c r="D237" s="101" t="s">
        <v>179</v>
      </c>
      <c r="E237" s="368">
        <f>$B$47</f>
        <v>0.8</v>
      </c>
      <c r="F237" s="21">
        <f>(E234+E236)*E237</f>
        <v>124.66</v>
      </c>
    </row>
    <row r="238" spans="1:7" s="47" customFormat="1" ht="11.25" customHeight="1" thickBot="1" x14ac:dyDescent="0.25">
      <c r="A238" s="9"/>
      <c r="B238" s="9"/>
      <c r="C238" s="9"/>
      <c r="D238" s="10"/>
      <c r="E238" s="10"/>
      <c r="F238" s="10"/>
      <c r="G238" s="72"/>
    </row>
    <row r="239" spans="1:7" ht="13.5" thickBot="1" x14ac:dyDescent="0.25">
      <c r="A239" s="24" t="s">
        <v>199</v>
      </c>
      <c r="B239" s="25"/>
      <c r="C239" s="25"/>
      <c r="D239" s="26"/>
      <c r="E239" s="27"/>
      <c r="F239" s="21">
        <f>+F237</f>
        <v>124.66</v>
      </c>
    </row>
    <row r="240" spans="1:7" ht="11.25" customHeight="1" thickBot="1" x14ac:dyDescent="0.25"/>
    <row r="241" spans="1:7" ht="17.25" customHeight="1" thickBot="1" x14ac:dyDescent="0.25">
      <c r="A241" s="24" t="s">
        <v>204</v>
      </c>
      <c r="B241" s="28"/>
      <c r="C241" s="28"/>
      <c r="D241" s="29"/>
      <c r="E241" s="30"/>
      <c r="F241" s="22">
        <f>+F101+F135+F216+F228+F239</f>
        <v>35399.64</v>
      </c>
    </row>
    <row r="242" spans="1:7" ht="11.25" customHeight="1" x14ac:dyDescent="0.2"/>
    <row r="243" spans="1:7" x14ac:dyDescent="0.2">
      <c r="A243" s="11" t="s">
        <v>84</v>
      </c>
    </row>
    <row r="244" spans="1:7" ht="11.25" customHeight="1" thickBot="1" x14ac:dyDescent="0.25"/>
    <row r="245" spans="1:7" ht="13.5" thickBot="1" x14ac:dyDescent="0.25">
      <c r="A245" s="53" t="s">
        <v>57</v>
      </c>
      <c r="B245" s="54" t="s">
        <v>58</v>
      </c>
      <c r="C245" s="54" t="s">
        <v>33</v>
      </c>
      <c r="D245" s="55" t="s">
        <v>214</v>
      </c>
      <c r="E245" s="55" t="s">
        <v>59</v>
      </c>
      <c r="F245" s="56" t="s">
        <v>60</v>
      </c>
    </row>
    <row r="246" spans="1:7" ht="13.5" thickBot="1" x14ac:dyDescent="0.25">
      <c r="A246" s="13" t="s">
        <v>29</v>
      </c>
      <c r="B246" s="14" t="s">
        <v>1</v>
      </c>
      <c r="C246" s="480">
        <f>'4.BDI'!C20*100</f>
        <v>30.44</v>
      </c>
      <c r="D246" s="15">
        <f>+F241</f>
        <v>35399.64</v>
      </c>
      <c r="E246" s="15">
        <f>C246*D246/100</f>
        <v>10775.65</v>
      </c>
    </row>
    <row r="247" spans="1:7" ht="13.5" thickBot="1" x14ac:dyDescent="0.25">
      <c r="F247" s="21">
        <f>+E246</f>
        <v>10775.65</v>
      </c>
    </row>
    <row r="248" spans="1:7" ht="11.25" customHeight="1" thickBot="1" x14ac:dyDescent="0.25"/>
    <row r="249" spans="1:7" ht="13.5" thickBot="1" x14ac:dyDescent="0.25">
      <c r="A249" s="24" t="s">
        <v>219</v>
      </c>
      <c r="B249" s="28"/>
      <c r="C249" s="28"/>
      <c r="D249" s="29"/>
      <c r="E249" s="30"/>
      <c r="F249" s="22">
        <f>F247</f>
        <v>10775.65</v>
      </c>
    </row>
    <row r="250" spans="1:7" x14ac:dyDescent="0.2">
      <c r="A250" s="11"/>
      <c r="B250" s="11"/>
      <c r="C250" s="11"/>
      <c r="D250" s="34"/>
      <c r="E250" s="34"/>
      <c r="F250" s="33"/>
    </row>
    <row r="251" spans="1:7" ht="11.25" customHeight="1" thickBot="1" x14ac:dyDescent="0.25"/>
    <row r="252" spans="1:7" ht="24.75" customHeight="1" thickBot="1" x14ac:dyDescent="0.25">
      <c r="A252" s="24" t="s">
        <v>205</v>
      </c>
      <c r="B252" s="28"/>
      <c r="C252" s="28"/>
      <c r="D252" s="29"/>
      <c r="E252" s="30"/>
      <c r="F252" s="22">
        <f>F241+F249</f>
        <v>46175.29</v>
      </c>
    </row>
    <row r="253" spans="1:7" ht="12.6" customHeight="1" x14ac:dyDescent="0.2">
      <c r="A253" s="50"/>
      <c r="B253" s="50"/>
      <c r="C253" s="50"/>
      <c r="D253" s="51"/>
      <c r="E253" s="51"/>
      <c r="F253" s="51"/>
    </row>
    <row r="254" spans="1:7" s="4" customFormat="1" ht="9.75" customHeight="1" x14ac:dyDescent="0.2">
      <c r="A254" s="37"/>
      <c r="B254" s="10"/>
      <c r="C254" s="10"/>
      <c r="D254" s="10"/>
      <c r="E254" s="10"/>
      <c r="F254" s="10"/>
      <c r="G254" s="6"/>
    </row>
    <row r="255" spans="1:7" s="4" customFormat="1" ht="9.75" customHeight="1" x14ac:dyDescent="0.2">
      <c r="A255" s="37"/>
      <c r="B255" s="10"/>
      <c r="C255" s="10"/>
      <c r="D255" s="10"/>
      <c r="E255" s="10"/>
      <c r="F255" s="10"/>
      <c r="G255" s="6"/>
    </row>
    <row r="256" spans="1:7" s="4" customFormat="1" ht="9.75" customHeight="1" x14ac:dyDescent="0.2">
      <c r="A256" s="37"/>
      <c r="B256" s="10"/>
      <c r="C256" s="10"/>
      <c r="D256" s="10"/>
      <c r="E256" s="10"/>
      <c r="F256" s="10"/>
      <c r="G256" s="6"/>
    </row>
    <row r="286" spans="4:7" ht="9" customHeight="1" x14ac:dyDescent="0.2">
      <c r="D286" s="9"/>
      <c r="E286" s="9"/>
      <c r="F286" s="9"/>
      <c r="G286" s="9"/>
    </row>
  </sheetData>
  <mergeCells count="8">
    <mergeCell ref="A4:F9"/>
    <mergeCell ref="A43:D43"/>
    <mergeCell ref="A22:C22"/>
    <mergeCell ref="A11:F11"/>
    <mergeCell ref="A12:F12"/>
    <mergeCell ref="A38:D38"/>
    <mergeCell ref="A14:F14"/>
    <mergeCell ref="A37:E37"/>
  </mergeCells>
  <phoneticPr fontId="10" type="noConversion"/>
  <hyperlinks>
    <hyperlink ref="A157" location="AbaRemun" display="3.1.2. Remuneração do Capital"/>
    <hyperlink ref="A141" location="AbaDeprec" display="3.1.1. Depreciação"/>
  </hyperlinks>
  <pageMargins left="0.9055118110236221" right="0.51181102362204722" top="0.74803149606299213" bottom="0.74803149606299213" header="0.31496062992125984" footer="0.31496062992125984"/>
  <pageSetup paperSize="9" scale="22" orientation="portrait" r:id="rId1"/>
  <headerFooter alignWithMargins="0">
    <oddFooter>&amp;R&amp;P de &amp;N</oddFooter>
  </headerFooter>
  <rowBreaks count="3" manualBreakCount="3">
    <brk id="49" max="16383" man="1"/>
    <brk id="121" max="16383" man="1"/>
    <brk id="180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topLeftCell="A4" zoomScaleNormal="100" workbookViewId="0">
      <selection activeCell="B41" sqref="B41"/>
    </sheetView>
  </sheetViews>
  <sheetFormatPr defaultRowHeight="12.75" x14ac:dyDescent="0.2"/>
  <cols>
    <col min="1" max="1" width="13.5703125" style="1" customWidth="1"/>
    <col min="2" max="2" width="39.5703125" style="1" bestFit="1" customWidth="1"/>
    <col min="3" max="3" width="14.5703125" style="232" customWidth="1"/>
    <col min="4" max="4" width="37.28515625" style="1" customWidth="1"/>
    <col min="5" max="10" width="9.140625" style="1"/>
    <col min="11" max="11" width="11" style="1" bestFit="1" customWidth="1"/>
    <col min="12" max="16384" width="9.140625" style="1"/>
  </cols>
  <sheetData>
    <row r="1" spans="1:7" x14ac:dyDescent="0.2">
      <c r="A1" s="11" t="s">
        <v>186</v>
      </c>
    </row>
    <row r="2" spans="1:7" x14ac:dyDescent="0.2">
      <c r="A2" s="114" t="s">
        <v>225</v>
      </c>
    </row>
    <row r="3" spans="1:7" s="4" customFormat="1" ht="15.6" customHeight="1" x14ac:dyDescent="0.2">
      <c r="B3" s="5"/>
      <c r="C3" s="253"/>
      <c r="D3" s="5"/>
      <c r="E3" s="5"/>
      <c r="F3" s="5"/>
      <c r="G3" s="6"/>
    </row>
    <row r="4" spans="1:7" s="4" customFormat="1" ht="15.6" customHeight="1" x14ac:dyDescent="0.2">
      <c r="A4" s="228" t="s">
        <v>265</v>
      </c>
      <c r="B4" s="5"/>
      <c r="C4" s="253"/>
      <c r="D4" s="5"/>
      <c r="E4" s="5"/>
      <c r="F4" s="5"/>
      <c r="G4" s="6"/>
    </row>
    <row r="5" spans="1:7" s="4" customFormat="1" ht="16.5" customHeight="1" x14ac:dyDescent="0.2">
      <c r="A5" s="228" t="s">
        <v>262</v>
      </c>
      <c r="B5" s="5"/>
      <c r="C5" s="253"/>
      <c r="D5" s="6"/>
      <c r="E5" s="6"/>
      <c r="F5" s="6"/>
      <c r="G5" s="6"/>
    </row>
    <row r="6" spans="1:7" ht="13.5" thickBot="1" x14ac:dyDescent="0.25"/>
    <row r="7" spans="1:7" ht="18" x14ac:dyDescent="0.2">
      <c r="A7" s="521" t="s">
        <v>208</v>
      </c>
      <c r="B7" s="522"/>
      <c r="C7" s="523"/>
      <c r="D7" s="119"/>
      <c r="E7" s="119"/>
      <c r="F7" s="119"/>
    </row>
    <row r="8" spans="1:7" s="252" customFormat="1" ht="15" x14ac:dyDescent="0.2">
      <c r="A8" s="201" t="s">
        <v>125</v>
      </c>
      <c r="B8" s="249" t="s">
        <v>126</v>
      </c>
      <c r="C8" s="250" t="s">
        <v>127</v>
      </c>
      <c r="D8" s="251"/>
    </row>
    <row r="9" spans="1:7" ht="14.25" x14ac:dyDescent="0.2">
      <c r="A9" s="131" t="s">
        <v>128</v>
      </c>
      <c r="B9" s="132" t="s">
        <v>34</v>
      </c>
      <c r="C9" s="254">
        <v>0.2</v>
      </c>
      <c r="D9" s="133"/>
    </row>
    <row r="10" spans="1:7" ht="14.25" x14ac:dyDescent="0.2">
      <c r="A10" s="131" t="s">
        <v>129</v>
      </c>
      <c r="B10" s="132" t="s">
        <v>130</v>
      </c>
      <c r="C10" s="254">
        <v>1.4999999999999999E-2</v>
      </c>
      <c r="D10" s="133"/>
    </row>
    <row r="11" spans="1:7" ht="14.25" x14ac:dyDescent="0.2">
      <c r="A11" s="131" t="s">
        <v>131</v>
      </c>
      <c r="B11" s="132" t="s">
        <v>132</v>
      </c>
      <c r="C11" s="254">
        <v>0.01</v>
      </c>
      <c r="D11" s="133"/>
    </row>
    <row r="12" spans="1:7" ht="14.25" x14ac:dyDescent="0.2">
      <c r="A12" s="131" t="s">
        <v>133</v>
      </c>
      <c r="B12" s="132" t="s">
        <v>134</v>
      </c>
      <c r="C12" s="254">
        <v>2E-3</v>
      </c>
      <c r="D12" s="133"/>
    </row>
    <row r="13" spans="1:7" ht="14.25" x14ac:dyDescent="0.2">
      <c r="A13" s="131" t="s">
        <v>135</v>
      </c>
      <c r="B13" s="132" t="s">
        <v>136</v>
      </c>
      <c r="C13" s="254">
        <v>6.0000000000000001E-3</v>
      </c>
      <c r="D13" s="133"/>
    </row>
    <row r="14" spans="1:7" ht="14.25" x14ac:dyDescent="0.2">
      <c r="A14" s="131" t="s">
        <v>137</v>
      </c>
      <c r="B14" s="132" t="s">
        <v>138</v>
      </c>
      <c r="C14" s="254">
        <v>2.5000000000000001E-2</v>
      </c>
      <c r="D14" s="133"/>
    </row>
    <row r="15" spans="1:7" ht="14.25" x14ac:dyDescent="0.2">
      <c r="A15" s="131" t="s">
        <v>139</v>
      </c>
      <c r="B15" s="132" t="s">
        <v>140</v>
      </c>
      <c r="C15" s="254">
        <v>0.03</v>
      </c>
      <c r="D15" s="133"/>
    </row>
    <row r="16" spans="1:7" ht="14.25" x14ac:dyDescent="0.2">
      <c r="A16" s="131" t="s">
        <v>141</v>
      </c>
      <c r="B16" s="132" t="s">
        <v>35</v>
      </c>
      <c r="C16" s="254">
        <v>0.08</v>
      </c>
      <c r="D16" s="133"/>
    </row>
    <row r="17" spans="1:8" ht="15" x14ac:dyDescent="0.2">
      <c r="A17" s="131" t="s">
        <v>142</v>
      </c>
      <c r="B17" s="134" t="s">
        <v>143</v>
      </c>
      <c r="C17" s="255">
        <f>SUM(C9:C16)</f>
        <v>0.36799999999999999</v>
      </c>
      <c r="D17" s="133"/>
    </row>
    <row r="18" spans="1:8" ht="15" x14ac:dyDescent="0.2">
      <c r="A18" s="135"/>
      <c r="B18" s="136"/>
      <c r="C18" s="256"/>
      <c r="D18" s="133"/>
    </row>
    <row r="19" spans="1:8" ht="14.25" x14ac:dyDescent="0.2">
      <c r="A19" s="131" t="s">
        <v>144</v>
      </c>
      <c r="B19" s="137" t="s">
        <v>145</v>
      </c>
      <c r="C19" s="254">
        <f>ROUND(IF('3.CAGED'!C28&gt;24,(1-12/'3.CAGED'!C28)*0.1111,0.1111-C28),4)</f>
        <v>6.1800000000000001E-2</v>
      </c>
      <c r="D19" s="133"/>
    </row>
    <row r="20" spans="1:8" ht="14.25" x14ac:dyDescent="0.2">
      <c r="A20" s="131" t="s">
        <v>146</v>
      </c>
      <c r="B20" s="137" t="s">
        <v>147</v>
      </c>
      <c r="C20" s="254">
        <f>ROUND('3.CAGED'!C32/'3.CAGED'!C29,4)</f>
        <v>8.3299999999999999E-2</v>
      </c>
      <c r="D20" s="133"/>
    </row>
    <row r="21" spans="1:8" ht="14.25" x14ac:dyDescent="0.2">
      <c r="A21" s="131" t="s">
        <v>197</v>
      </c>
      <c r="B21" s="137" t="s">
        <v>149</v>
      </c>
      <c r="C21" s="254">
        <v>5.9999999999999995E-4</v>
      </c>
      <c r="D21" s="133"/>
    </row>
    <row r="22" spans="1:8" ht="14.25" x14ac:dyDescent="0.2">
      <c r="A22" s="131" t="s">
        <v>148</v>
      </c>
      <c r="B22" s="137" t="s">
        <v>151</v>
      </c>
      <c r="C22" s="254">
        <v>8.2000000000000007E-3</v>
      </c>
      <c r="D22" s="133"/>
    </row>
    <row r="23" spans="1:8" ht="14.25" x14ac:dyDescent="0.2">
      <c r="A23" s="131" t="s">
        <v>150</v>
      </c>
      <c r="B23" s="137" t="s">
        <v>153</v>
      </c>
      <c r="C23" s="254">
        <v>3.0999999999999999E-3</v>
      </c>
      <c r="D23" s="133"/>
    </row>
    <row r="24" spans="1:8" ht="14.25" x14ac:dyDescent="0.2">
      <c r="A24" s="131" t="s">
        <v>152</v>
      </c>
      <c r="B24" s="137" t="s">
        <v>154</v>
      </c>
      <c r="C24" s="254">
        <v>1.66E-2</v>
      </c>
      <c r="D24" s="133"/>
    </row>
    <row r="25" spans="1:8" ht="15" x14ac:dyDescent="0.2">
      <c r="A25" s="131" t="s">
        <v>155</v>
      </c>
      <c r="B25" s="134" t="s">
        <v>156</v>
      </c>
      <c r="C25" s="255">
        <f>SUM(C19:C24)</f>
        <v>0.1736</v>
      </c>
      <c r="D25" s="138"/>
    </row>
    <row r="26" spans="1:8" ht="15" x14ac:dyDescent="0.2">
      <c r="A26" s="135"/>
      <c r="B26" s="136"/>
      <c r="C26" s="256"/>
      <c r="D26" s="138"/>
    </row>
    <row r="27" spans="1:8" ht="14.25" x14ac:dyDescent="0.2">
      <c r="A27" s="131" t="s">
        <v>157</v>
      </c>
      <c r="B27" s="132" t="s">
        <v>158</v>
      </c>
      <c r="C27" s="254">
        <f>ROUND(('3.CAGED'!C33) *'3.CAGED'!C26/'3.CAGED'!C29,4)</f>
        <v>2.5600000000000001E-2</v>
      </c>
      <c r="D27" s="133"/>
      <c r="E27" s="139"/>
    </row>
    <row r="28" spans="1:8" ht="14.25" x14ac:dyDescent="0.2">
      <c r="A28" s="131" t="s">
        <v>196</v>
      </c>
      <c r="B28" s="132" t="s">
        <v>160</v>
      </c>
      <c r="C28" s="254">
        <f>ROUND(IF('3.CAGED'!C28&gt;12,12/'3.CAGED'!C28*0.1111,0.1111),4)</f>
        <v>4.9299999999999997E-2</v>
      </c>
      <c r="D28" s="133"/>
      <c r="H28" s="140"/>
    </row>
    <row r="29" spans="1:8" ht="14.25" x14ac:dyDescent="0.2">
      <c r="A29" s="131" t="s">
        <v>159</v>
      </c>
      <c r="B29" s="132" t="s">
        <v>162</v>
      </c>
      <c r="C29" s="254">
        <f>C27*C28</f>
        <v>1.2999999999999999E-3</v>
      </c>
      <c r="D29" s="133"/>
      <c r="E29" s="139"/>
    </row>
    <row r="30" spans="1:8" ht="14.25" x14ac:dyDescent="0.2">
      <c r="A30" s="131" t="s">
        <v>161</v>
      </c>
      <c r="B30" s="132" t="s">
        <v>164</v>
      </c>
      <c r="C30" s="254">
        <f>ROUND(('3.CAGED'!C29+'3.CAGED'!C30+'3.CAGED'!C32)/'3.CAGED'!C27*'3.CAGED'!C34*'3.CAGED'!C35*'3.CAGED'!C26/'3.CAGED'!C29,4)</f>
        <v>2.0500000000000001E-2</v>
      </c>
      <c r="D30" s="133"/>
      <c r="G30" s="139"/>
    </row>
    <row r="31" spans="1:8" ht="14.25" x14ac:dyDescent="0.2">
      <c r="A31" s="131" t="s">
        <v>163</v>
      </c>
      <c r="B31" s="132" t="s">
        <v>165</v>
      </c>
      <c r="C31" s="254">
        <f>ROUND(('3.CAGED'!C31/'3.CAGED'!C29)*'3.CAGED'!C26/12,4)</f>
        <v>1.8E-3</v>
      </c>
      <c r="D31" s="133"/>
    </row>
    <row r="32" spans="1:8" ht="15" x14ac:dyDescent="0.2">
      <c r="A32" s="131" t="s">
        <v>166</v>
      </c>
      <c r="B32" s="134" t="s">
        <v>167</v>
      </c>
      <c r="C32" s="255">
        <f>SUM(C27:C31)</f>
        <v>9.8500000000000004E-2</v>
      </c>
      <c r="D32" s="138"/>
    </row>
    <row r="33" spans="1:4" ht="15" x14ac:dyDescent="0.2">
      <c r="A33" s="135"/>
      <c r="B33" s="136"/>
      <c r="C33" s="256"/>
      <c r="D33" s="138"/>
    </row>
    <row r="34" spans="1:4" ht="14.25" x14ac:dyDescent="0.2">
      <c r="A34" s="131" t="s">
        <v>168</v>
      </c>
      <c r="B34" s="132" t="s">
        <v>169</v>
      </c>
      <c r="C34" s="254">
        <f>ROUND(C17*C25,4)</f>
        <v>6.3899999999999998E-2</v>
      </c>
      <c r="D34" s="133"/>
    </row>
    <row r="35" spans="1:4" ht="28.5" x14ac:dyDescent="0.2">
      <c r="A35" s="131" t="s">
        <v>170</v>
      </c>
      <c r="B35" s="141" t="s">
        <v>261</v>
      </c>
      <c r="C35" s="254">
        <f>ROUND((C27*C16),4)</f>
        <v>2E-3</v>
      </c>
      <c r="D35" s="133"/>
    </row>
    <row r="36" spans="1:4" ht="15" x14ac:dyDescent="0.2">
      <c r="A36" s="131" t="s">
        <v>171</v>
      </c>
      <c r="B36" s="134" t="s">
        <v>172</v>
      </c>
      <c r="C36" s="255">
        <f>SUM(C34:C35)</f>
        <v>6.59E-2</v>
      </c>
      <c r="D36" s="138"/>
    </row>
    <row r="37" spans="1:4" ht="15.75" thickBot="1" x14ac:dyDescent="0.25">
      <c r="A37" s="142"/>
      <c r="B37" s="143" t="s">
        <v>173</v>
      </c>
      <c r="C37" s="257">
        <f>C36+C32+C25+C17</f>
        <v>0.70599999999999996</v>
      </c>
      <c r="D37" s="138"/>
    </row>
    <row r="38" spans="1:4" ht="15" x14ac:dyDescent="0.2">
      <c r="A38" s="133"/>
      <c r="B38" s="144"/>
      <c r="C38" s="258"/>
      <c r="D38" s="145"/>
    </row>
    <row r="39" spans="1:4" ht="14.25" x14ac:dyDescent="0.2">
      <c r="A39" s="133"/>
      <c r="B39" s="133"/>
      <c r="C39" s="259"/>
      <c r="D39" s="146"/>
    </row>
    <row r="40" spans="1:4" ht="14.25" x14ac:dyDescent="0.2">
      <c r="A40" s="133"/>
      <c r="B40" s="133"/>
      <c r="C40" s="259"/>
      <c r="D40" s="133"/>
    </row>
    <row r="41" spans="1:4" ht="14.25" x14ac:dyDescent="0.2">
      <c r="A41" s="133"/>
      <c r="B41" s="133"/>
      <c r="C41" s="259"/>
      <c r="D41" s="133"/>
    </row>
    <row r="42" spans="1:4" ht="14.25" x14ac:dyDescent="0.2">
      <c r="A42" s="133"/>
      <c r="B42" s="133"/>
      <c r="C42" s="259"/>
      <c r="D42" s="133"/>
    </row>
    <row r="43" spans="1:4" ht="15" x14ac:dyDescent="0.2">
      <c r="A43" s="133"/>
      <c r="B43" s="144"/>
      <c r="C43" s="258"/>
      <c r="D43" s="133"/>
    </row>
    <row r="44" spans="1:4" ht="15" x14ac:dyDescent="0.2">
      <c r="A44" s="138"/>
      <c r="B44" s="144"/>
      <c r="C44" s="258"/>
      <c r="D44" s="138"/>
    </row>
    <row r="45" spans="1:4" ht="16.5" x14ac:dyDescent="0.2">
      <c r="A45" s="148"/>
    </row>
    <row r="46" spans="1:4" x14ac:dyDescent="0.2">
      <c r="A46" s="149"/>
      <c r="B46" s="150"/>
      <c r="C46" s="260"/>
    </row>
    <row r="47" spans="1:4" ht="14.25" x14ac:dyDescent="0.2">
      <c r="A47" s="133"/>
      <c r="B47" s="151"/>
      <c r="C47" s="260"/>
    </row>
    <row r="48" spans="1:4" ht="14.25" x14ac:dyDescent="0.2">
      <c r="A48" s="133"/>
      <c r="B48" s="151"/>
      <c r="C48" s="261"/>
    </row>
    <row r="49" spans="1:3" ht="14.25" x14ac:dyDescent="0.2">
      <c r="A49" s="133"/>
      <c r="B49" s="147"/>
      <c r="C49" s="260"/>
    </row>
    <row r="50" spans="1:3" ht="14.25" x14ac:dyDescent="0.2">
      <c r="A50" s="133"/>
      <c r="B50" s="151"/>
      <c r="C50" s="261"/>
    </row>
    <row r="51" spans="1:3" ht="14.25" x14ac:dyDescent="0.2">
      <c r="A51" s="133"/>
      <c r="B51" s="147"/>
      <c r="C51" s="260"/>
    </row>
    <row r="52" spans="1:3" ht="14.25" x14ac:dyDescent="0.2">
      <c r="A52" s="133"/>
      <c r="B52" s="151"/>
      <c r="C52" s="261"/>
    </row>
    <row r="53" spans="1:3" ht="14.25" x14ac:dyDescent="0.2">
      <c r="A53" s="133"/>
      <c r="B53" s="147"/>
      <c r="C53" s="260"/>
    </row>
    <row r="54" spans="1:3" ht="14.25" x14ac:dyDescent="0.2">
      <c r="A54" s="133"/>
      <c r="B54" s="151"/>
      <c r="C54" s="261"/>
    </row>
    <row r="55" spans="1:3" ht="14.25" x14ac:dyDescent="0.2">
      <c r="A55" s="133"/>
      <c r="B55" s="147"/>
      <c r="C55" s="260"/>
    </row>
    <row r="56" spans="1:3" ht="16.5" x14ac:dyDescent="0.2">
      <c r="A56" s="148"/>
    </row>
    <row r="59" spans="1:3" x14ac:dyDescent="0.2">
      <c r="A59" s="152"/>
    </row>
  </sheetData>
  <mergeCells count="1">
    <mergeCell ref="A7:C7"/>
  </mergeCells>
  <pageMargins left="0.90551181102362199" right="0.51181102362204722" top="0.74803149606299213" bottom="0.74803149606299213" header="0.31496062992125984" footer="0.31496062992125984"/>
  <pageSetup paperSize="9" orientation="portrait" verticalDpi="597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zoomScaleNormal="100" workbookViewId="0">
      <selection activeCell="A3" sqref="A3"/>
    </sheetView>
  </sheetViews>
  <sheetFormatPr defaultRowHeight="12.75" x14ac:dyDescent="0.2"/>
  <cols>
    <col min="1" max="1" width="8.5703125" style="1" customWidth="1"/>
    <col min="2" max="2" width="67.140625" style="1" customWidth="1"/>
    <col min="3" max="3" width="13.7109375" style="232" customWidth="1"/>
    <col min="4" max="4" width="10.28515625" style="1" customWidth="1"/>
    <col min="5" max="5" width="13.7109375" style="1" customWidth="1"/>
    <col min="6" max="16384" width="9.140625" style="1"/>
  </cols>
  <sheetData>
    <row r="1" spans="1:3" x14ac:dyDescent="0.2">
      <c r="A1" s="92" t="s">
        <v>220</v>
      </c>
    </row>
    <row r="3" spans="1:3" x14ac:dyDescent="0.2">
      <c r="A3" s="229" t="s">
        <v>273</v>
      </c>
    </row>
    <row r="5" spans="1:3" x14ac:dyDescent="0.2">
      <c r="A5" s="229" t="s">
        <v>272</v>
      </c>
    </row>
    <row r="6" spans="1:3" ht="13.5" thickBot="1" x14ac:dyDescent="0.25"/>
    <row r="7" spans="1:3" ht="18" x14ac:dyDescent="0.25">
      <c r="B7" s="524" t="s">
        <v>206</v>
      </c>
      <c r="C7" s="525"/>
    </row>
    <row r="8" spans="1:3" ht="15" x14ac:dyDescent="0.25">
      <c r="B8" s="123" t="s">
        <v>188</v>
      </c>
      <c r="C8" s="233"/>
    </row>
    <row r="9" spans="1:3" ht="15" x14ac:dyDescent="0.25">
      <c r="B9" s="124" t="s">
        <v>109</v>
      </c>
      <c r="C9" s="234">
        <v>2100</v>
      </c>
    </row>
    <row r="10" spans="1:3" ht="15" x14ac:dyDescent="0.25">
      <c r="B10" s="125" t="s">
        <v>110</v>
      </c>
      <c r="C10" s="234">
        <v>2031</v>
      </c>
    </row>
    <row r="11" spans="1:3" ht="14.25" x14ac:dyDescent="0.2">
      <c r="B11" s="153" t="s">
        <v>111</v>
      </c>
      <c r="C11" s="235">
        <v>44</v>
      </c>
    </row>
    <row r="12" spans="1:3" ht="14.25" x14ac:dyDescent="0.2">
      <c r="B12" s="153" t="s">
        <v>112</v>
      </c>
      <c r="C12" s="235">
        <v>1192</v>
      </c>
    </row>
    <row r="13" spans="1:3" ht="14.25" x14ac:dyDescent="0.2">
      <c r="B13" s="153" t="s">
        <v>113</v>
      </c>
      <c r="C13" s="235">
        <v>372</v>
      </c>
    </row>
    <row r="14" spans="1:3" ht="14.25" x14ac:dyDescent="0.2">
      <c r="B14" s="153" t="s">
        <v>114</v>
      </c>
      <c r="C14" s="235">
        <v>22</v>
      </c>
    </row>
    <row r="15" spans="1:3" ht="14.25" x14ac:dyDescent="0.2">
      <c r="B15" s="153" t="s">
        <v>115</v>
      </c>
      <c r="C15" s="235">
        <v>350</v>
      </c>
    </row>
    <row r="16" spans="1:3" ht="14.25" x14ac:dyDescent="0.2">
      <c r="B16" s="153" t="s">
        <v>116</v>
      </c>
      <c r="C16" s="235">
        <v>1</v>
      </c>
    </row>
    <row r="17" spans="1:5" ht="14.25" x14ac:dyDescent="0.2">
      <c r="B17" s="153" t="s">
        <v>117</v>
      </c>
      <c r="C17" s="235">
        <v>30</v>
      </c>
    </row>
    <row r="18" spans="1:5" ht="14.25" x14ac:dyDescent="0.2">
      <c r="B18" s="155" t="s">
        <v>118</v>
      </c>
      <c r="C18" s="236">
        <v>0</v>
      </c>
    </row>
    <row r="19" spans="1:5" ht="14.25" x14ac:dyDescent="0.2">
      <c r="B19" s="231" t="s">
        <v>268</v>
      </c>
      <c r="C19" s="236">
        <v>0</v>
      </c>
    </row>
    <row r="20" spans="1:5" ht="15" x14ac:dyDescent="0.25">
      <c r="A20" s="1" t="s">
        <v>119</v>
      </c>
      <c r="B20" s="123" t="s">
        <v>120</v>
      </c>
      <c r="C20" s="233"/>
    </row>
    <row r="21" spans="1:5" ht="14.25" x14ac:dyDescent="0.2">
      <c r="B21" s="156" t="s">
        <v>270</v>
      </c>
      <c r="C21" s="237">
        <v>4625</v>
      </c>
    </row>
    <row r="22" spans="1:5" ht="14.25" x14ac:dyDescent="0.2">
      <c r="B22" s="153" t="s">
        <v>271</v>
      </c>
      <c r="C22" s="235">
        <v>4694</v>
      </c>
    </row>
    <row r="23" spans="1:5" ht="14.25" x14ac:dyDescent="0.2">
      <c r="B23" s="153" t="s">
        <v>269</v>
      </c>
      <c r="C23" s="238">
        <f>C9-C10</f>
        <v>69</v>
      </c>
    </row>
    <row r="24" spans="1:5" ht="14.25" x14ac:dyDescent="0.2">
      <c r="B24" s="157"/>
      <c r="C24" s="239"/>
    </row>
    <row r="25" spans="1:5" s="92" customFormat="1" ht="15" x14ac:dyDescent="0.25">
      <c r="B25" s="124" t="s">
        <v>122</v>
      </c>
      <c r="C25" s="240">
        <f>MEDIAN(C21,C22)</f>
        <v>4659.5</v>
      </c>
    </row>
    <row r="26" spans="1:5" ht="15" x14ac:dyDescent="0.25">
      <c r="B26" s="125" t="s">
        <v>266</v>
      </c>
      <c r="C26" s="241">
        <f>C12/C25</f>
        <v>0.25580000000000003</v>
      </c>
    </row>
    <row r="27" spans="1:5" ht="15" x14ac:dyDescent="0.25">
      <c r="B27" s="125" t="s">
        <v>267</v>
      </c>
      <c r="C27" s="241">
        <f>MEDIAN(C9,C10)/C25</f>
        <v>0.44330000000000003</v>
      </c>
      <c r="E27" s="211"/>
    </row>
    <row r="28" spans="1:5" s="92" customFormat="1" ht="15" x14ac:dyDescent="0.25">
      <c r="B28" s="125" t="s">
        <v>226</v>
      </c>
      <c r="C28" s="242">
        <f>12/C27</f>
        <v>27.069700000000001</v>
      </c>
    </row>
    <row r="29" spans="1:5" ht="15" x14ac:dyDescent="0.25">
      <c r="B29" s="125" t="s">
        <v>121</v>
      </c>
      <c r="C29" s="243">
        <v>360</v>
      </c>
    </row>
    <row r="30" spans="1:5" ht="15" x14ac:dyDescent="0.25">
      <c r="B30" s="125" t="s">
        <v>221</v>
      </c>
      <c r="C30" s="243">
        <v>10</v>
      </c>
    </row>
    <row r="31" spans="1:5" ht="15" x14ac:dyDescent="0.25">
      <c r="B31" s="124" t="s">
        <v>222</v>
      </c>
      <c r="C31" s="244">
        <v>30</v>
      </c>
    </row>
    <row r="32" spans="1:5" ht="15" x14ac:dyDescent="0.25">
      <c r="B32" s="124" t="s">
        <v>223</v>
      </c>
      <c r="C32" s="244">
        <v>30</v>
      </c>
    </row>
    <row r="33" spans="2:4" s="92" customFormat="1" ht="15" x14ac:dyDescent="0.25">
      <c r="B33" s="124" t="s">
        <v>124</v>
      </c>
      <c r="C33" s="244">
        <f>30+(3*TRUNC(1/C27))</f>
        <v>36</v>
      </c>
    </row>
    <row r="34" spans="2:4" s="92" customFormat="1" ht="15" x14ac:dyDescent="0.25">
      <c r="B34" s="125" t="s">
        <v>35</v>
      </c>
      <c r="C34" s="245">
        <v>0.08</v>
      </c>
    </row>
    <row r="35" spans="2:4" s="92" customFormat="1" ht="15.75" thickBot="1" x14ac:dyDescent="0.3">
      <c r="B35" s="126" t="s">
        <v>123</v>
      </c>
      <c r="C35" s="246">
        <v>0.4</v>
      </c>
      <c r="D35" s="92" t="s">
        <v>274</v>
      </c>
    </row>
  </sheetData>
  <mergeCells count="1">
    <mergeCell ref="B7:C7"/>
  </mergeCells>
  <pageMargins left="0.90551181102362199" right="0.51181102362204722" top="0.74803149606299213" bottom="0.74803149606299213" header="0.31496062992125984" footer="0.31496062992125984"/>
  <pageSetup paperSize="9" scale="98" orientation="portrait" verticalDpi="597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4"/>
  <sheetViews>
    <sheetView showGridLines="0" zoomScaleNormal="100" workbookViewId="0">
      <selection activeCell="I14" sqref="I14"/>
    </sheetView>
  </sheetViews>
  <sheetFormatPr defaultRowHeight="12.75" x14ac:dyDescent="0.2"/>
  <cols>
    <col min="1" max="1" width="41.85546875" bestFit="1" customWidth="1"/>
    <col min="2" max="2" width="5.5703125" bestFit="1" customWidth="1"/>
    <col min="4" max="4" width="9.7109375" bestFit="1" customWidth="1"/>
    <col min="5" max="5" width="8" style="100" bestFit="1" customWidth="1"/>
    <col min="6" max="6" width="9.7109375" bestFit="1" customWidth="1"/>
  </cols>
  <sheetData>
    <row r="1" spans="1:8" s="116" customFormat="1" ht="14.25" x14ac:dyDescent="0.2">
      <c r="A1" s="11" t="s">
        <v>186</v>
      </c>
      <c r="B1" s="8"/>
      <c r="C1" s="8"/>
      <c r="E1" s="117"/>
    </row>
    <row r="2" spans="1:8" s="116" customFormat="1" ht="14.25" x14ac:dyDescent="0.2">
      <c r="A2" s="114" t="s">
        <v>227</v>
      </c>
      <c r="B2" s="8"/>
      <c r="C2" s="8"/>
      <c r="E2" s="117"/>
    </row>
    <row r="3" spans="1:8" s="116" customFormat="1" ht="14.25" x14ac:dyDescent="0.2">
      <c r="A3" s="9" t="s">
        <v>187</v>
      </c>
      <c r="B3" s="8"/>
      <c r="C3" s="8"/>
      <c r="E3" s="117"/>
    </row>
    <row r="4" spans="1:8" s="116" customFormat="1" ht="14.25" x14ac:dyDescent="0.2">
      <c r="A4" s="9"/>
      <c r="B4" s="8"/>
      <c r="C4" s="8"/>
      <c r="E4" s="117"/>
    </row>
    <row r="5" spans="1:8" s="4" customFormat="1" ht="15.6" customHeight="1" x14ac:dyDescent="0.2">
      <c r="A5" s="228" t="s">
        <v>265</v>
      </c>
      <c r="B5" s="5"/>
      <c r="C5" s="5"/>
      <c r="D5" s="5"/>
      <c r="E5" s="5"/>
      <c r="F5" s="5"/>
      <c r="G5" s="6"/>
    </row>
    <row r="6" spans="1:8" s="4" customFormat="1" ht="16.5" customHeight="1" x14ac:dyDescent="0.2">
      <c r="A6" s="228" t="s">
        <v>262</v>
      </c>
      <c r="B6" s="5"/>
      <c r="C6" s="5"/>
      <c r="D6" s="6"/>
      <c r="E6" s="6"/>
      <c r="F6" s="6"/>
      <c r="G6" s="6"/>
    </row>
    <row r="7" spans="1:8" s="116" customFormat="1" ht="15" thickBot="1" x14ac:dyDescent="0.25">
      <c r="B7" s="8"/>
      <c r="C7" s="8"/>
      <c r="E7" s="117"/>
    </row>
    <row r="8" spans="1:8" ht="15.75" x14ac:dyDescent="0.2">
      <c r="A8" s="531" t="s">
        <v>207</v>
      </c>
      <c r="B8" s="532"/>
      <c r="C8" s="532"/>
      <c r="D8" s="532"/>
      <c r="E8" s="532"/>
      <c r="F8" s="533"/>
    </row>
    <row r="9" spans="1:8" ht="16.5" thickBot="1" x14ac:dyDescent="0.25">
      <c r="A9" s="198"/>
      <c r="B9" s="199"/>
      <c r="C9" s="199"/>
      <c r="D9" s="199"/>
      <c r="E9" s="199"/>
      <c r="F9" s="200"/>
    </row>
    <row r="10" spans="1:8" ht="15" x14ac:dyDescent="0.25">
      <c r="A10" s="158"/>
      <c r="B10" s="8"/>
      <c r="C10" s="8"/>
      <c r="D10" s="528" t="s">
        <v>224</v>
      </c>
      <c r="E10" s="529"/>
      <c r="F10" s="530"/>
      <c r="G10" s="116"/>
      <c r="H10" s="116"/>
    </row>
    <row r="11" spans="1:8" ht="15" thickBot="1" x14ac:dyDescent="0.25">
      <c r="A11" s="157"/>
      <c r="B11" s="116"/>
      <c r="C11" s="116"/>
      <c r="D11" s="159" t="s">
        <v>174</v>
      </c>
      <c r="E11" s="160" t="s">
        <v>175</v>
      </c>
      <c r="F11" s="161" t="s">
        <v>176</v>
      </c>
      <c r="G11" s="116"/>
      <c r="H11" s="116"/>
    </row>
    <row r="12" spans="1:8" ht="14.25" x14ac:dyDescent="0.2">
      <c r="A12" s="162" t="s">
        <v>70</v>
      </c>
      <c r="B12" s="163" t="s">
        <v>71</v>
      </c>
      <c r="C12" s="164">
        <v>5.0799999999999998E-2</v>
      </c>
      <c r="D12" s="185">
        <v>2.9700000000000001E-2</v>
      </c>
      <c r="E12" s="186">
        <v>5.0799999999999998E-2</v>
      </c>
      <c r="F12" s="187">
        <v>6.2700000000000006E-2</v>
      </c>
      <c r="G12" s="116"/>
      <c r="H12" s="116"/>
    </row>
    <row r="13" spans="1:8" ht="14.25" x14ac:dyDescent="0.2">
      <c r="A13" s="166" t="s">
        <v>72</v>
      </c>
      <c r="B13" s="167" t="s">
        <v>73</v>
      </c>
      <c r="C13" s="168">
        <v>1.7100000000000001E-2</v>
      </c>
      <c r="D13" s="185">
        <f>0.3%+0.56%</f>
        <v>8.6E-3</v>
      </c>
      <c r="E13" s="186">
        <f>0.48%+0.85%</f>
        <v>1.3299999999999999E-2</v>
      </c>
      <c r="F13" s="187">
        <f>0.82%+0.89%</f>
        <v>1.7100000000000001E-2</v>
      </c>
      <c r="G13" s="116"/>
      <c r="H13" s="116"/>
    </row>
    <row r="14" spans="1:8" ht="14.25" x14ac:dyDescent="0.2">
      <c r="A14" s="166" t="s">
        <v>74</v>
      </c>
      <c r="B14" s="167" t="s">
        <v>75</v>
      </c>
      <c r="C14" s="168">
        <v>0.13550000000000001</v>
      </c>
      <c r="D14" s="185">
        <v>7.7799999999999994E-2</v>
      </c>
      <c r="E14" s="186">
        <v>0.1085</v>
      </c>
      <c r="F14" s="187">
        <v>0.13550000000000001</v>
      </c>
      <c r="G14" s="116"/>
      <c r="H14" s="116"/>
    </row>
    <row r="15" spans="1:8" ht="14.25" x14ac:dyDescent="0.2">
      <c r="A15" s="166" t="s">
        <v>76</v>
      </c>
      <c r="B15" s="167" t="s">
        <v>77</v>
      </c>
      <c r="C15" s="169">
        <f>(1+E15)^(E16/252)-1</f>
        <v>4.1999999999999997E-3</v>
      </c>
      <c r="D15" s="185" t="s">
        <v>257</v>
      </c>
      <c r="E15" s="170">
        <v>0.1125</v>
      </c>
      <c r="F15" s="165"/>
      <c r="G15" s="116"/>
      <c r="H15" s="116"/>
    </row>
    <row r="16" spans="1:8" ht="14.25" x14ac:dyDescent="0.2">
      <c r="A16" s="166" t="s">
        <v>78</v>
      </c>
      <c r="B16" s="526" t="s">
        <v>79</v>
      </c>
      <c r="C16" s="168">
        <v>0.03</v>
      </c>
      <c r="D16" s="227" t="s">
        <v>177</v>
      </c>
      <c r="E16" s="171">
        <v>10</v>
      </c>
      <c r="F16" s="172"/>
      <c r="G16" s="116"/>
      <c r="H16" s="116"/>
    </row>
    <row r="17" spans="1:8" ht="15" thickBot="1" x14ac:dyDescent="0.25">
      <c r="A17" s="173" t="s">
        <v>80</v>
      </c>
      <c r="B17" s="527"/>
      <c r="C17" s="174">
        <v>3.6499999999999998E-2</v>
      </c>
      <c r="D17" s="153"/>
      <c r="E17" s="175"/>
      <c r="F17" s="172"/>
      <c r="G17" s="116"/>
      <c r="H17" s="116"/>
    </row>
    <row r="18" spans="1:8" ht="14.25" x14ac:dyDescent="0.2">
      <c r="A18" s="176" t="s">
        <v>81</v>
      </c>
      <c r="B18" s="177"/>
      <c r="C18" s="178"/>
      <c r="D18" s="153"/>
      <c r="E18" s="175"/>
      <c r="F18" s="172"/>
      <c r="G18" s="116"/>
      <c r="H18" s="116"/>
    </row>
    <row r="19" spans="1:8" ht="15" thickBot="1" x14ac:dyDescent="0.25">
      <c r="A19" s="179" t="s">
        <v>82</v>
      </c>
      <c r="B19" s="180"/>
      <c r="C19" s="181"/>
      <c r="D19" s="153"/>
      <c r="E19" s="175"/>
      <c r="F19" s="172"/>
      <c r="G19" s="116"/>
      <c r="H19" s="116"/>
    </row>
    <row r="20" spans="1:8" ht="15.75" thickBot="1" x14ac:dyDescent="0.25">
      <c r="A20" s="182" t="s">
        <v>83</v>
      </c>
      <c r="B20" s="183"/>
      <c r="C20" s="184">
        <f>ROUND((((1+C12+C13)*(1+C14)*(1+C15))/(1-(C16+C17))-1),4)</f>
        <v>0.3044</v>
      </c>
      <c r="D20" s="188">
        <v>0.21429999999999999</v>
      </c>
      <c r="E20" s="189">
        <v>0.2717</v>
      </c>
      <c r="F20" s="190">
        <v>0.3362</v>
      </c>
      <c r="G20" s="116"/>
      <c r="H20" s="116"/>
    </row>
    <row r="21" spans="1:8" ht="14.25" x14ac:dyDescent="0.2">
      <c r="A21" s="116"/>
      <c r="B21" s="116"/>
      <c r="C21" s="116"/>
      <c r="D21" s="116"/>
      <c r="E21" s="117"/>
      <c r="F21" s="116"/>
      <c r="G21" s="116"/>
      <c r="H21" s="116"/>
    </row>
    <row r="22" spans="1:8" ht="14.25" x14ac:dyDescent="0.2">
      <c r="A22" s="116"/>
      <c r="B22" s="116"/>
      <c r="C22" s="116"/>
      <c r="D22" s="116"/>
      <c r="E22" s="117"/>
      <c r="F22" s="116"/>
      <c r="G22" s="116"/>
      <c r="H22" s="116"/>
    </row>
    <row r="23" spans="1:8" ht="14.25" x14ac:dyDescent="0.2">
      <c r="A23" s="116"/>
      <c r="B23" s="116"/>
      <c r="C23" s="116"/>
      <c r="D23" s="116"/>
      <c r="E23" s="117"/>
      <c r="F23" s="116"/>
      <c r="G23" s="116"/>
      <c r="H23" s="116"/>
    </row>
    <row r="24" spans="1:8" ht="14.25" x14ac:dyDescent="0.2">
      <c r="A24" s="116"/>
      <c r="B24" s="116"/>
      <c r="C24" s="116"/>
      <c r="D24" s="116"/>
      <c r="E24" s="117"/>
      <c r="F24" s="116"/>
      <c r="G24" s="116"/>
      <c r="H24" s="116"/>
    </row>
  </sheetData>
  <mergeCells count="3">
    <mergeCell ref="B16:B17"/>
    <mergeCell ref="D10:F10"/>
    <mergeCell ref="A8:F8"/>
  </mergeCells>
  <pageMargins left="0.90551181102362199" right="0.51181102362204722" top="0.74803149606299213" bottom="0.74803149606299213" header="0.31496062992125984" footer="0.31496062992125984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sqref="A1:B17"/>
    </sheetView>
  </sheetViews>
  <sheetFormatPr defaultRowHeight="19.5" customHeight="1" x14ac:dyDescent="0.2"/>
  <cols>
    <col min="1" max="1" width="24.5703125" style="1" customWidth="1"/>
    <col min="2" max="2" width="20.85546875" style="1" customWidth="1"/>
    <col min="3" max="16384" width="9.140625" style="1"/>
  </cols>
  <sheetData>
    <row r="1" spans="1:2" ht="19.5" customHeight="1" thickBot="1" x14ac:dyDescent="0.25">
      <c r="A1" s="534" t="s">
        <v>209</v>
      </c>
      <c r="B1" s="535"/>
    </row>
    <row r="2" spans="1:2" s="92" customFormat="1" ht="19.5" customHeight="1" x14ac:dyDescent="0.2">
      <c r="A2" s="201" t="s">
        <v>189</v>
      </c>
      <c r="B2" s="202" t="s">
        <v>259</v>
      </c>
    </row>
    <row r="3" spans="1:2" ht="19.5" customHeight="1" x14ac:dyDescent="0.2">
      <c r="A3" s="128">
        <v>1</v>
      </c>
      <c r="B3" s="127">
        <v>33.630000000000003</v>
      </c>
    </row>
    <row r="4" spans="1:2" ht="19.5" customHeight="1" x14ac:dyDescent="0.2">
      <c r="A4" s="128">
        <v>2</v>
      </c>
      <c r="B4" s="127">
        <v>43.13</v>
      </c>
    </row>
    <row r="5" spans="1:2" ht="19.5" customHeight="1" x14ac:dyDescent="0.2">
      <c r="A5" s="128">
        <v>3</v>
      </c>
      <c r="B5" s="127">
        <v>48.68</v>
      </c>
    </row>
    <row r="6" spans="1:2" ht="19.5" customHeight="1" x14ac:dyDescent="0.2">
      <c r="A6" s="128">
        <v>4</v>
      </c>
      <c r="B6" s="127">
        <v>52.62</v>
      </c>
    </row>
    <row r="7" spans="1:2" ht="19.5" customHeight="1" x14ac:dyDescent="0.2">
      <c r="A7" s="128">
        <v>5</v>
      </c>
      <c r="B7" s="127">
        <v>55.68</v>
      </c>
    </row>
    <row r="8" spans="1:2" ht="19.5" customHeight="1" x14ac:dyDescent="0.2">
      <c r="A8" s="128">
        <v>6</v>
      </c>
      <c r="B8" s="127">
        <v>58.18</v>
      </c>
    </row>
    <row r="9" spans="1:2" ht="19.5" customHeight="1" x14ac:dyDescent="0.2">
      <c r="A9" s="128">
        <v>7</v>
      </c>
      <c r="B9" s="127">
        <v>60.29</v>
      </c>
    </row>
    <row r="10" spans="1:2" ht="19.5" customHeight="1" x14ac:dyDescent="0.2">
      <c r="A10" s="128">
        <v>8</v>
      </c>
      <c r="B10" s="127">
        <v>62.12</v>
      </c>
    </row>
    <row r="11" spans="1:2" ht="19.5" customHeight="1" x14ac:dyDescent="0.2">
      <c r="A11" s="128">
        <v>9</v>
      </c>
      <c r="B11" s="127">
        <v>63.73</v>
      </c>
    </row>
    <row r="12" spans="1:2" ht="19.5" customHeight="1" x14ac:dyDescent="0.2">
      <c r="A12" s="128">
        <v>10</v>
      </c>
      <c r="B12" s="127">
        <v>65.180000000000007</v>
      </c>
    </row>
    <row r="13" spans="1:2" ht="19.5" customHeight="1" x14ac:dyDescent="0.2">
      <c r="A13" s="128">
        <v>11</v>
      </c>
      <c r="B13" s="127">
        <v>66.48</v>
      </c>
    </row>
    <row r="14" spans="1:2" ht="19.5" customHeight="1" x14ac:dyDescent="0.2">
      <c r="A14" s="128">
        <v>12</v>
      </c>
      <c r="B14" s="127">
        <v>67.67</v>
      </c>
    </row>
    <row r="15" spans="1:2" ht="19.5" customHeight="1" x14ac:dyDescent="0.2">
      <c r="A15" s="128">
        <v>13</v>
      </c>
      <c r="B15" s="127">
        <v>68.77</v>
      </c>
    </row>
    <row r="16" spans="1:2" ht="19.5" customHeight="1" x14ac:dyDescent="0.2">
      <c r="A16" s="128">
        <v>14</v>
      </c>
      <c r="B16" s="127">
        <v>69.790000000000006</v>
      </c>
    </row>
    <row r="17" spans="1:2" ht="19.5" customHeight="1" thickBot="1" x14ac:dyDescent="0.25">
      <c r="A17" s="129">
        <v>15</v>
      </c>
      <c r="B17" s="130">
        <v>70.73</v>
      </c>
    </row>
  </sheetData>
  <mergeCells count="1">
    <mergeCell ref="A1:B1"/>
  </mergeCells>
  <pageMargins left="0.90551181102362199" right="0.51181102362204722" top="0.74803149606299213" bottom="0.74803149606299213" header="0.31496062992125984" footer="0.31496062992125984"/>
  <pageSetup paperSize="9" orientation="portrait" verticalDpi="597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"/>
  <sheetViews>
    <sheetView workbookViewId="0">
      <selection activeCell="A13" sqref="A13"/>
    </sheetView>
  </sheetViews>
  <sheetFormatPr defaultRowHeight="12.75" x14ac:dyDescent="0.2"/>
  <cols>
    <col min="1" max="1" width="70.42578125" style="1" customWidth="1"/>
    <col min="2" max="3" width="9.140625" style="1"/>
    <col min="4" max="4" width="12.85546875" style="1" bestFit="1" customWidth="1"/>
    <col min="5" max="16384" width="9.140625" style="1"/>
  </cols>
  <sheetData>
    <row r="1" spans="1:1" ht="18" x14ac:dyDescent="0.25">
      <c r="A1" s="194" t="s">
        <v>213</v>
      </c>
    </row>
    <row r="2" spans="1:1" x14ac:dyDescent="0.2">
      <c r="A2" s="191"/>
    </row>
    <row r="3" spans="1:1" x14ac:dyDescent="0.2">
      <c r="A3" s="191" t="s">
        <v>228</v>
      </c>
    </row>
    <row r="4" spans="1:1" x14ac:dyDescent="0.2">
      <c r="A4" s="191"/>
    </row>
    <row r="5" spans="1:1" x14ac:dyDescent="0.2">
      <c r="A5" s="191"/>
    </row>
    <row r="6" spans="1:1" x14ac:dyDescent="0.2">
      <c r="A6" s="191"/>
    </row>
    <row r="7" spans="1:1" x14ac:dyDescent="0.2">
      <c r="A7" s="191"/>
    </row>
    <row r="8" spans="1:1" x14ac:dyDescent="0.2">
      <c r="A8" s="191"/>
    </row>
    <row r="9" spans="1:1" x14ac:dyDescent="0.2">
      <c r="A9" s="191"/>
    </row>
    <row r="10" spans="1:1" x14ac:dyDescent="0.2">
      <c r="A10" s="191"/>
    </row>
    <row r="11" spans="1:1" x14ac:dyDescent="0.2">
      <c r="A11" s="191"/>
    </row>
    <row r="12" spans="1:1" ht="19.5" x14ac:dyDescent="0.35">
      <c r="A12" s="192" t="s">
        <v>210</v>
      </c>
    </row>
    <row r="13" spans="1:1" ht="15" x14ac:dyDescent="0.2">
      <c r="A13" s="192" t="s">
        <v>95</v>
      </c>
    </row>
    <row r="14" spans="1:1" ht="15" x14ac:dyDescent="0.2">
      <c r="A14" s="192" t="s">
        <v>100</v>
      </c>
    </row>
    <row r="15" spans="1:1" ht="19.5" x14ac:dyDescent="0.35">
      <c r="A15" s="192" t="s">
        <v>211</v>
      </c>
    </row>
    <row r="16" spans="1:1" ht="19.5" x14ac:dyDescent="0.35">
      <c r="A16" s="192" t="s">
        <v>212</v>
      </c>
    </row>
    <row r="17" spans="1:1" ht="15.75" thickBot="1" x14ac:dyDescent="0.25">
      <c r="A17" s="193" t="s">
        <v>96</v>
      </c>
    </row>
  </sheetData>
  <pageMargins left="0.90551181102362199" right="0.51181102362204722" top="0.74803149606299213" bottom="0.74803149606299213" header="0.31496062992125984" footer="0.31496062992125984"/>
  <pageSetup paperSize="9" orientation="portrait" verticalDpi="597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opLeftCell="A7" zoomScaleNormal="100" workbookViewId="0">
      <selection activeCell="C20" sqref="C20"/>
    </sheetView>
  </sheetViews>
  <sheetFormatPr defaultRowHeight="12.75" x14ac:dyDescent="0.2"/>
  <cols>
    <col min="1" max="1" width="58.28515625" style="211" customWidth="1"/>
    <col min="2" max="2" width="11.140625" style="424" bestFit="1" customWidth="1"/>
    <col min="3" max="3" width="11.28515625" style="211" bestFit="1" customWidth="1"/>
    <col min="4" max="16384" width="9.140625" style="211"/>
  </cols>
  <sheetData>
    <row r="1" spans="1:7" x14ac:dyDescent="0.2">
      <c r="A1" s="11" t="s">
        <v>186</v>
      </c>
    </row>
    <row r="2" spans="1:7" x14ac:dyDescent="0.2">
      <c r="A2" s="216" t="s">
        <v>235</v>
      </c>
    </row>
    <row r="3" spans="1:7" x14ac:dyDescent="0.2">
      <c r="A3" s="216" t="s">
        <v>260</v>
      </c>
    </row>
    <row r="4" spans="1:7" x14ac:dyDescent="0.2">
      <c r="A4" s="7" t="s">
        <v>258</v>
      </c>
    </row>
    <row r="5" spans="1:7" x14ac:dyDescent="0.2">
      <c r="A5" s="7"/>
    </row>
    <row r="6" spans="1:7" s="4" customFormat="1" ht="15.6" customHeight="1" x14ac:dyDescent="0.2">
      <c r="A6" s="228" t="s">
        <v>265</v>
      </c>
      <c r="B6" s="253"/>
      <c r="C6" s="5"/>
      <c r="D6" s="5"/>
      <c r="E6" s="5"/>
      <c r="F6" s="5"/>
      <c r="G6" s="6"/>
    </row>
    <row r="7" spans="1:7" s="4" customFormat="1" ht="16.5" customHeight="1" x14ac:dyDescent="0.2">
      <c r="A7" s="228" t="s">
        <v>262</v>
      </c>
      <c r="B7" s="253"/>
      <c r="C7" s="5"/>
      <c r="D7" s="6"/>
      <c r="E7" s="6"/>
      <c r="F7" s="6"/>
      <c r="G7" s="6"/>
    </row>
    <row r="8" spans="1:7" ht="13.5" thickBot="1" x14ac:dyDescent="0.25"/>
    <row r="9" spans="1:7" ht="18" x14ac:dyDescent="0.25">
      <c r="A9" s="536" t="s">
        <v>275</v>
      </c>
      <c r="B9" s="537"/>
      <c r="C9" s="538"/>
    </row>
    <row r="10" spans="1:7" ht="18" x14ac:dyDescent="0.25">
      <c r="A10" s="224"/>
      <c r="B10" s="223"/>
      <c r="C10" s="225"/>
    </row>
    <row r="11" spans="1:7" s="92" customFormat="1" ht="15" x14ac:dyDescent="0.25">
      <c r="A11" s="217" t="s">
        <v>255</v>
      </c>
      <c r="B11" s="425" t="s">
        <v>236</v>
      </c>
      <c r="C11" s="218" t="s">
        <v>127</v>
      </c>
    </row>
    <row r="12" spans="1:7" ht="14.25" x14ac:dyDescent="0.2">
      <c r="A12" s="153" t="s">
        <v>244</v>
      </c>
      <c r="B12" s="175" t="s">
        <v>237</v>
      </c>
      <c r="C12" s="154">
        <v>5518</v>
      </c>
    </row>
    <row r="13" spans="1:7" ht="14.25" x14ac:dyDescent="0.2">
      <c r="A13" s="153" t="s">
        <v>245</v>
      </c>
      <c r="B13" s="175" t="s">
        <v>242</v>
      </c>
      <c r="C13" s="247">
        <v>0.35</v>
      </c>
    </row>
    <row r="14" spans="1:7" ht="14.25" x14ac:dyDescent="0.2">
      <c r="A14" s="153" t="s">
        <v>246</v>
      </c>
      <c r="B14" s="175" t="s">
        <v>243</v>
      </c>
      <c r="C14" s="219">
        <f>C12*C13/1000</f>
        <v>1.93</v>
      </c>
    </row>
    <row r="15" spans="1:7" ht="14.25" x14ac:dyDescent="0.2">
      <c r="A15" s="153" t="s">
        <v>252</v>
      </c>
      <c r="B15" s="175" t="s">
        <v>238</v>
      </c>
      <c r="C15" s="248">
        <f>(C14*30)</f>
        <v>57.9</v>
      </c>
    </row>
    <row r="16" spans="1:7" ht="14.25" x14ac:dyDescent="0.2">
      <c r="A16" s="153" t="s">
        <v>248</v>
      </c>
      <c r="B16" s="175" t="s">
        <v>87</v>
      </c>
      <c r="C16" s="221">
        <v>6</v>
      </c>
    </row>
    <row r="17" spans="1:3" ht="14.25" x14ac:dyDescent="0.2">
      <c r="A17" s="153" t="s">
        <v>247</v>
      </c>
      <c r="B17" s="175" t="s">
        <v>243</v>
      </c>
      <c r="C17" s="219">
        <f>IFERROR(C14*7/C16,0)</f>
        <v>2.25</v>
      </c>
    </row>
    <row r="18" spans="1:3" ht="14.25" x14ac:dyDescent="0.2">
      <c r="A18" s="153" t="s">
        <v>239</v>
      </c>
      <c r="B18" s="175" t="s">
        <v>240</v>
      </c>
      <c r="C18" s="172">
        <v>180</v>
      </c>
    </row>
    <row r="19" spans="1:3" ht="14.25" x14ac:dyDescent="0.2">
      <c r="A19" s="153" t="s">
        <v>253</v>
      </c>
      <c r="B19" s="175"/>
      <c r="C19" s="154">
        <v>1</v>
      </c>
    </row>
    <row r="20" spans="1:3" ht="14.25" x14ac:dyDescent="0.2">
      <c r="A20" s="153" t="s">
        <v>254</v>
      </c>
      <c r="B20" s="175" t="s">
        <v>241</v>
      </c>
      <c r="C20" s="154">
        <v>32</v>
      </c>
    </row>
    <row r="21" spans="1:3" ht="14.25" x14ac:dyDescent="0.2">
      <c r="A21" s="153" t="s">
        <v>249</v>
      </c>
      <c r="B21" s="175" t="s">
        <v>238</v>
      </c>
      <c r="C21" s="172">
        <f>IF(AND(C20&gt;=15,C19=1),5.8,C20/2)</f>
        <v>5.8</v>
      </c>
    </row>
    <row r="22" spans="1:3" ht="14.25" x14ac:dyDescent="0.2">
      <c r="A22" s="153" t="s">
        <v>250</v>
      </c>
      <c r="B22" s="175"/>
      <c r="C22" s="219">
        <f>IFERROR(C17/C21,0)</f>
        <v>0.39</v>
      </c>
    </row>
    <row r="23" spans="1:3" ht="14.25" x14ac:dyDescent="0.2">
      <c r="A23" s="153" t="s">
        <v>256</v>
      </c>
      <c r="B23" s="175"/>
      <c r="C23" s="226">
        <v>1</v>
      </c>
    </row>
    <row r="24" spans="1:3" ht="15" thickBot="1" x14ac:dyDescent="0.25">
      <c r="A24" s="220" t="s">
        <v>251</v>
      </c>
      <c r="B24" s="426"/>
      <c r="C24" s="222">
        <f>IFERROR(C22/C23,0)</f>
        <v>0.39</v>
      </c>
    </row>
  </sheetData>
  <mergeCells count="1">
    <mergeCell ref="A9:C9"/>
  </mergeCells>
  <conditionalFormatting sqref="C21">
    <cfRule type="expression" dxfId="0" priority="1">
      <formula>"SE(E(C20&gt;=15;C19=1))"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8</vt:i4>
      </vt:variant>
    </vt:vector>
  </HeadingPairs>
  <TitlesOfParts>
    <vt:vector size="16" baseType="lpstr">
      <vt:lpstr>Plan Diversas</vt:lpstr>
      <vt:lpstr>1. Coleta Domiciliar</vt:lpstr>
      <vt:lpstr>2.Encargos Sociais</vt:lpstr>
      <vt:lpstr>3.CAGED</vt:lpstr>
      <vt:lpstr>4.BDI</vt:lpstr>
      <vt:lpstr>5. Depreciação</vt:lpstr>
      <vt:lpstr>6.Remuneração de capital</vt:lpstr>
      <vt:lpstr>7. Dimensionamento</vt:lpstr>
      <vt:lpstr>AbaDeprec</vt:lpstr>
      <vt:lpstr>AbaRemun</vt:lpstr>
      <vt:lpstr>'2.Encargos Sociais'!Area_de_impressao</vt:lpstr>
      <vt:lpstr>DiasColetaPorSemana_Organicos</vt:lpstr>
      <vt:lpstr>DiasColetaPorSemana_Reciclaveis</vt:lpstr>
      <vt:lpstr>DiasColetaPorSemanaTOTAL</vt:lpstr>
      <vt:lpstr>DMT_Transporte</vt:lpstr>
      <vt:lpstr>Semanas_Mes_Média</vt:lpstr>
    </vt:vector>
  </TitlesOfParts>
  <Company>dmlu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Custos Coleta e Transporte RSU</dc:title>
  <dc:creator>Flavia Burmeister Martins</dc:creator>
  <cp:lastModifiedBy>Paulo</cp:lastModifiedBy>
  <cp:lastPrinted>2023-07-03T23:30:00Z</cp:lastPrinted>
  <dcterms:created xsi:type="dcterms:W3CDTF">2000-12-13T10:02:50Z</dcterms:created>
  <dcterms:modified xsi:type="dcterms:W3CDTF">2024-12-10T13:35:11Z</dcterms:modified>
</cp:coreProperties>
</file>