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Natuur\Projetos\Munic Rondinha - TRef Coleta RSD\Etapa 2 - Projeto Básico\"/>
    </mc:Choice>
  </mc:AlternateContent>
  <xr:revisionPtr revIDLastSave="0" documentId="13_ncr:1_{F048BE88-283A-44F9-8D92-7C26B94B3AD2}" xr6:coauthVersionLast="47" xr6:coauthVersionMax="47" xr10:uidLastSave="{00000000-0000-0000-0000-000000000000}"/>
  <bookViews>
    <workbookView xWindow="-120" yWindow="-120" windowWidth="19440" windowHeight="11640" tabRatio="802" xr2:uid="{00000000-000D-0000-FFFF-FFFF00000000}"/>
  </bookViews>
  <sheets>
    <sheet name="Plan Diversas" sheetId="10" r:id="rId1"/>
    <sheet name="1. Coleta Domiciliar" sheetId="2" r:id="rId2"/>
    <sheet name="2.Encargos Sociais" sheetId="8" r:id="rId3"/>
    <sheet name="3.CAGED" sheetId="5" r:id="rId4"/>
    <sheet name="4.BDI" sheetId="4" r:id="rId5"/>
    <sheet name="5. Depreciação" sheetId="6" r:id="rId6"/>
    <sheet name="6.Remuneração de capital" sheetId="7" r:id="rId7"/>
    <sheet name="7. Dimensionamento" sheetId="9" r:id="rId8"/>
  </sheets>
  <externalReferences>
    <externalReference r:id="rId9"/>
  </externalReferences>
  <definedNames>
    <definedName name="AbaDeprec">'5. Depreciação'!$A$1</definedName>
    <definedName name="AbaRemun">'6.Remuneração de capital'!$A$1</definedName>
    <definedName name="_xlnm.Print_Area" localSheetId="1">'1. Coleta Domiciliar'!$A$1:$F$250</definedName>
    <definedName name="_xlnm.Print_Area" localSheetId="2">'2.Encargos Sociais'!$A$1:$C$39</definedName>
    <definedName name="BDI_Aplicavel">'Plan Diversas'!#REF!</definedName>
    <definedName name="BDI_ComLucro">'[1]0. BDI'!$B$23</definedName>
    <definedName name="BDI_SemLucro">'[1]0. BDI'!$B$37</definedName>
    <definedName name="Caminhao_Municipio_CustoEquipamento">'Plan Diversas'!#REF!</definedName>
    <definedName name="Caminhao_Municipio_CustoVeiculo">'Plan Diversas'!#REF!</definedName>
    <definedName name="Caminhao_Municipio_DescricaoVeiculo">'Plan Diversas'!#REF!</definedName>
    <definedName name="Caminhao_Municipio_IdadeEquipamento">'Plan Diversas'!#REF!</definedName>
    <definedName name="Caminhao_Municipio_IdadeVeiculo">'Plan Diversas'!#REF!</definedName>
    <definedName name="Caminhao_Municipio_TipoEquipamento">'Plan Diversas'!#REF!</definedName>
    <definedName name="Caminhao_Municipio_TotalFrota">'Plan Diversas'!#REF!</definedName>
    <definedName name="Caminhao_Municipio_ValorLicenciamento">'Plan Diversas'!#REF!</definedName>
    <definedName name="Caminhao_Municipio_ValorSeguroTerceiros">'Plan Diversas'!#REF!</definedName>
    <definedName name="Caminhao_Municipio_VidaUtilEquipamento">'Plan Diversas'!#REF!</definedName>
    <definedName name="Caminhao_Municipio_VidaUtilVeiculo">'Plan Diversas'!#REF!</definedName>
    <definedName name="Coleta_Coletor_BaseCalcInsalubridade">'Plan Diversas'!#REF!</definedName>
    <definedName name="Coleta_Coletor_Efetivo">'Plan Diversas'!#REF!</definedName>
    <definedName name="Coleta_Coletor_FornecValeAliment">'Plan Diversas'!#REF!</definedName>
    <definedName name="Coleta_Coletor_FornecValeTransporte">'Plan Diversas'!#REF!</definedName>
    <definedName name="Coleta_Coletor_IndiceInsalubridade">'Plan Diversas'!#REF!</definedName>
    <definedName name="Coleta_Coletor_PisoCategoria">'Plan Diversas'!#REF!</definedName>
    <definedName name="Coleta_Coletor_VlrAuxAliment">'Plan Diversas'!#REF!</definedName>
    <definedName name="Coleta_Coletor_VlrValeRefeicao">'Plan Diversas'!#REF!</definedName>
    <definedName name="Coleta_Motorista_BaseCalcInsalubridade">'Plan Diversas'!#REF!</definedName>
    <definedName name="Coleta_Motorista_Efetivo">'Plan Diversas'!#REF!</definedName>
    <definedName name="Coleta_Motorista_FornecValeAliment">'Plan Diversas'!#REF!</definedName>
    <definedName name="Coleta_Motorista_FornecValeTransporte">'Plan Diversas'!#REF!</definedName>
    <definedName name="Coleta_Motorista_IndiceInsalubridade">'Plan Diversas'!#REF!</definedName>
    <definedName name="Coleta_Motorista_PisoCategoria">'Plan Diversas'!#REF!</definedName>
    <definedName name="Coleta_Motorista_VlrAuxAliment">'Plan Diversas'!#REF!</definedName>
    <definedName name="Coleta_Motorista_VlrValeRefeicao">'Plan Diversas'!#REF!</definedName>
    <definedName name="Coleta_ResponsabilidadeFornec_Veiculo">'Plan Diversas'!#REF!</definedName>
    <definedName name="Coleta_VlrValeTransporte">'Plan Diversas'!#REF!</definedName>
    <definedName name="ColetaOrganicos_CustoEquipamento">'Plan Diversas'!#REF!</definedName>
    <definedName name="ColetaOrganicos_CustoVeiculo">'Plan Diversas'!#REF!</definedName>
    <definedName name="ColetaOrganicos_DescricaoVeiculo">'Plan Diversas'!#REF!</definedName>
    <definedName name="ColetaOrganicos_IdadeEquipamento">'Plan Diversas'!#REF!</definedName>
    <definedName name="ColetaOrganicos_IdadeVeiculo">'Plan Diversas'!#REF!</definedName>
    <definedName name="ColetaOrganicos_TipoEquipamento">'Plan Diversas'!#REF!</definedName>
    <definedName name="ColetaOrganicos_TotalFrota">'Plan Diversas'!#REF!</definedName>
    <definedName name="ColetaOrganicos_ValorLicenciamento">'Plan Diversas'!#REF!</definedName>
    <definedName name="ColetaOrganicos_ValorSeguroTerceiros">'Plan Diversas'!#REF!</definedName>
    <definedName name="ColetaOrganicos_VidaUtilEquipamento">'Plan Diversas'!#REF!</definedName>
    <definedName name="ColetaOrganicos_VidaUtilVeiculo">'Plan Diversas'!#REF!</definedName>
    <definedName name="ColetaReciclaveis_CustoEquipamento">'Plan Diversas'!#REF!</definedName>
    <definedName name="ColetaReciclaveis_CustoVeiculo">'Plan Diversas'!#REF!</definedName>
    <definedName name="ColetaReciclaveis_DescricaoVeiculo">'Plan Diversas'!#REF!</definedName>
    <definedName name="ColetaReciclaveis_IdadeEquipamento">'Plan Diversas'!#REF!</definedName>
    <definedName name="ColetaReciclaveis_IdadeVeiculo">'Plan Diversas'!#REF!</definedName>
    <definedName name="ColetaReciclaveis_TipoEquipamento">'Plan Diversas'!#REF!</definedName>
    <definedName name="ColetaReciclaveis_TotalFrota">'Plan Diversas'!#REF!</definedName>
    <definedName name="ColetaReciclaveis_ValorLicenciamento">'Plan Diversas'!#REF!</definedName>
    <definedName name="ColetaReciclaveis_ValorSeguroTerceiros">'Plan Diversas'!#REF!</definedName>
    <definedName name="ColetaReciclaveis_VidaUtilEquipamento">'Plan Diversas'!#REF!</definedName>
    <definedName name="ColetaReciclaveis_VidaUtilVeiculo">'Plan Diversas'!#REF!</definedName>
    <definedName name="ContratacaoSeguroEstacaoTransbordo">'Plan Diversas'!#REF!</definedName>
    <definedName name="ContratacaoSeguroTerceiros">'Plan Diversas'!#REF!</definedName>
    <definedName name="CustoDisposicaoFinal">'Plan Diversas'!#REF!</definedName>
    <definedName name="DescontoReciclaveis">'Plan Diversas'!#REF!</definedName>
    <definedName name="DiasColetaPorSemana_Organicos">'Plan Diversas'!$E$7</definedName>
    <definedName name="DiasColetaPorSemana_Reciclaveis">'Plan Diversas'!$E$8</definedName>
    <definedName name="DiasColetaPorSemanaTOTAL">'Plan Diversas'!$E$9</definedName>
    <definedName name="DiasTrabalhadosMes_Organicos">'Plan Diversas'!#REF!</definedName>
    <definedName name="DiasTrabalhadosMes_Reciclaveis">'Plan Diversas'!#REF!</definedName>
    <definedName name="DiasTrabalhadosMes_Transporte">'Plan Diversas'!#REF!</definedName>
    <definedName name="DiasTrabalhadosMes_Triagem">'Plan Diversas'!#REF!</definedName>
    <definedName name="DiasUteis_Mes_Média">'[1]0. TABELAS'!$F$15</definedName>
    <definedName name="DistânciaDiariaRotasColetas">'Plan Diversas'!#REF!</definedName>
    <definedName name="DistanciaMensal_ColetasRoteiro1">'Plan Diversas'!$F$20</definedName>
    <definedName name="DistanciaMensal_ColetasRoteiro2">'Plan Diversas'!$F$31</definedName>
    <definedName name="DistanciaMensal_ColetaVolumosos">'Plan Diversas'!#REF!</definedName>
    <definedName name="DMT_Transporte">'Plan Diversas'!$E$41</definedName>
    <definedName name="EquipamentoCargaUtilizado">'Plan Diversas'!#REF!</definedName>
    <definedName name="FrotaOrganicos">'[1]1. Coleta Resíduos'!$C$57</definedName>
    <definedName name="FrotaReciclaveis">'[1]1. Coleta Resíduos'!$C$58</definedName>
    <definedName name="FrotaTriagem">'[1]2.1. Triagem e Aterro'!$D$66</definedName>
    <definedName name="FU_Carregadeira">'Plan Diversas'!#REF!</definedName>
    <definedName name="FU_ColetaOrganicos">'Plan Diversas'!#REF!</definedName>
    <definedName name="FU_ColetaReciclaveis">'Plan Diversas'!#REF!</definedName>
    <definedName name="FU_Transporte">'Plan Diversas'!#REF!</definedName>
    <definedName name="FU_Triagem_Edificacao">'Plan Diversas'!#REF!</definedName>
    <definedName name="FU_Triagem_MaoDeObra">'Plan Diversas'!#REF!</definedName>
    <definedName name="GeraçãoRejeitosPerCapita">'[1]0. Quantidades'!$E$18</definedName>
    <definedName name="HorasTrabalhadasMes_Maquina">'Plan Diversas'!#REF!</definedName>
    <definedName name="Motorista_Município_BaseCalcInsalubridade">'Plan Diversas'!#REF!</definedName>
    <definedName name="Motorista_Município_Efetivo">'Plan Diversas'!#REF!</definedName>
    <definedName name="Motorista_Município_IndiceInsalubridade">'Plan Diversas'!#REF!</definedName>
    <definedName name="Motorista_Município_PisoCategoria">'Plan Diversas'!#REF!</definedName>
    <definedName name="Operador_Município_BaseCalcInsalubridade">'Plan Diversas'!#REF!</definedName>
    <definedName name="Operador_Municipio_Efetivo">'Plan Diversas'!#REF!</definedName>
    <definedName name="Operador_Município_IndiceInsalubridade">'Plan Diversas'!#REF!</definedName>
    <definedName name="Operador_Municipio_PisoCategoria">'Plan Diversas'!#REF!</definedName>
    <definedName name="População">'[1]0. Quantidades'!$G$22</definedName>
    <definedName name="Reciclaveis_ValorMedioVenda">'Plan Diversas'!#REF!</definedName>
    <definedName name="ResumoValoresColetaContratada">'[1]1. Coleta Resíduos'!$A$4:$F$33</definedName>
    <definedName name="ResumoValoresColetaPrefeitura">'[1]1. Coleta Resíduos'!$A$34:$F$47</definedName>
    <definedName name="ResumoValoresTransporteContratada">'[1]2.2. Transporte e Aterro'!$A$4:$F$25</definedName>
    <definedName name="ResumoValoresTriagemContratada">'[1]2.1. Triagem e Aterro'!$A$4:$F$33</definedName>
    <definedName name="ResumoValoresTriagemPrefeitura">'[1]2.1. Triagem e Aterro'!$A$34:$F$53</definedName>
    <definedName name="Semanas_Mes_Média">'Plan Diversas'!$M$23</definedName>
    <definedName name="TabelaDadosCarga">'[1]0. TABELAS'!$B$18:$J$49</definedName>
    <definedName name="TabelaDensidadeResiduos">'[1]0. TABELAS'!$B$9:$C$15</definedName>
    <definedName name="TabelaDepreciacao">'[1]9. Depreciação'!$A$1:$B$18</definedName>
    <definedName name="TabelaEPIs">'[1]0. TABELAS'!$B$79:$E$93</definedName>
    <definedName name="TabelaFerramentas">'[1]0. TABELAS'!$B$96:$E$107</definedName>
    <definedName name="TabelaVeiculos">'[1]0. TABELAS'!$B$55:$M$74</definedName>
    <definedName name="TaxaSELIC">'[1]0. BDI'!$C$7</definedName>
    <definedName name="Transporte_CustoEquipamento">'Plan Diversas'!#REF!</definedName>
    <definedName name="Transporte_CustoVeiculo">'Plan Diversas'!#REF!</definedName>
    <definedName name="Transporte_DescricaoVeiculo">'Plan Diversas'!#REF!</definedName>
    <definedName name="Transporte_DistanciaMensal">'Plan Diversas'!#REF!</definedName>
    <definedName name="Transporte_IdadeEquipamento">'Plan Diversas'!#REF!</definedName>
    <definedName name="Transporte_IdadeVeiculo">'Plan Diversas'!#REF!</definedName>
    <definedName name="Transporte_Motorista_BaseCalcInsalubridade">'Plan Diversas'!#REF!</definedName>
    <definedName name="Transporte_Motorista_Efetivo">'Plan Diversas'!#REF!</definedName>
    <definedName name="Transporte_Motorista_FornecValeAliment">'Plan Diversas'!#REF!</definedName>
    <definedName name="Transporte_Motorista_FornecValeTransporte">'Plan Diversas'!#REF!</definedName>
    <definedName name="Transporte_Motorista_IndiceInsalubridade">'Plan Diversas'!#REF!</definedName>
    <definedName name="Transporte_Motorista_PisoCategoria">'Plan Diversas'!#REF!</definedName>
    <definedName name="Transporte_Motorista_VlrAuxAliment">'Plan Diversas'!#REF!</definedName>
    <definedName name="Transporte_Motorista_VlrValeRefeicao">'Plan Diversas'!#REF!</definedName>
    <definedName name="Transporte_NrCargaSemana">'Plan Diversas'!#REF!</definedName>
    <definedName name="Transporte_TipoEquipamento">'Plan Diversas'!#REF!</definedName>
    <definedName name="Transporte_TotalCaçambasRollon">'Plan Diversas'!#REF!</definedName>
    <definedName name="Transporte_TotalFrota">'Plan Diversas'!#REF!</definedName>
    <definedName name="Transporte_ValorLicenciamento">'Plan Diversas'!#REF!</definedName>
    <definedName name="Transporte_ValorSeguroTerceiros">'Plan Diversas'!#REF!</definedName>
    <definedName name="Transporte_VidaUtilEquipamento">'Plan Diversas'!#REF!</definedName>
    <definedName name="Transporte_VidaUtilVeiculo">'Plan Diversas'!#REF!</definedName>
    <definedName name="Transporte_VlrValeTransporte">'Plan Diversas'!#REF!</definedName>
    <definedName name="Triagem_Auxiliar_BaseCalcInsalubridade">'Plan Diversas'!#REF!</definedName>
    <definedName name="Triagem_Auxiliar_Efetivo">'Plan Diversas'!#REF!</definedName>
    <definedName name="Triagem_Auxiliar_FornecValeAliment">'Plan Diversas'!#REF!</definedName>
    <definedName name="Triagem_Auxiliar_FornecValeTransporte">'Plan Diversas'!#REF!</definedName>
    <definedName name="Triagem_Auxiliar_IndiceInsalubridade">'Plan Diversas'!#REF!</definedName>
    <definedName name="Triagem_Auxiliar_PisoCategoria">'Plan Diversas'!#REF!</definedName>
    <definedName name="Triagem_Auxiliar_VlrAuxAliment">'Plan Diversas'!#REF!</definedName>
    <definedName name="Triagem_Auxiliar_VlrValeRefeicao">'Plan Diversas'!#REF!</definedName>
    <definedName name="Triagem_CustoVeiculo">'Plan Diversas'!#REF!</definedName>
    <definedName name="Triagem_DescricaoVeiculo">'Plan Diversas'!#REF!</definedName>
    <definedName name="Triagem_Edificacao_ConstrucaoAluguel">'Plan Diversas'!#REF!</definedName>
    <definedName name="Triagem_IdadeVeiculo">'Plan Diversas'!#REF!</definedName>
    <definedName name="Triagem_Operador_BaseCalcInsalubridade">'Plan Diversas'!#REF!</definedName>
    <definedName name="Triagem_Operador_Efetivo">'Plan Diversas'!#REF!</definedName>
    <definedName name="Triagem_Operador_FornecValeAliment">'Plan Diversas'!#REF!</definedName>
    <definedName name="Triagem_Operador_FornecValeTransporte">'Plan Diversas'!#REF!</definedName>
    <definedName name="Triagem_Operador_IndiceInsalubridade">'Plan Diversas'!#REF!</definedName>
    <definedName name="Triagem_Operador_PisoCategoria">'Plan Diversas'!#REF!</definedName>
    <definedName name="Triagem_Operador_VlrAuxAliment">'Plan Diversas'!#REF!</definedName>
    <definedName name="Triagem_Operador_VlrValeRefeicao">'Plan Diversas'!#REF!</definedName>
    <definedName name="Triagem_Reciclador_BaseCalcInsalubridade">'Plan Diversas'!#REF!</definedName>
    <definedName name="Triagem_Reciclador_Efetivo">'Plan Diversas'!#REF!</definedName>
    <definedName name="Triagem_Reciclador_FornecValeAliment">'Plan Diversas'!#REF!</definedName>
    <definedName name="Triagem_Reciclador_FornecValeTransporte">'Plan Diversas'!#REF!</definedName>
    <definedName name="Triagem_Reciclador_IndiceInsalubridade">'Plan Diversas'!#REF!</definedName>
    <definedName name="Triagem_Reciclador_PisoCategoria">'Plan Diversas'!#REF!</definedName>
    <definedName name="Triagem_Reciclador_VlrAuxAliment">'Plan Diversas'!#REF!</definedName>
    <definedName name="Triagem_Reciclador_VlrValeRefeicao">'Plan Diversas'!#REF!</definedName>
    <definedName name="Triagem_Responsabilidade_PgtoSeguroImovel">'Plan Diversas'!#REF!</definedName>
    <definedName name="Triagem_ResponsabilidadeFornec_Edificacao">'Plan Diversas'!#REF!</definedName>
    <definedName name="Triagem_ResponsabilidadeFornec_Equipamentos">'Plan Diversas'!#REF!</definedName>
    <definedName name="Triagem_ResponsabilidadeFornec_Maquina">'Plan Diversas'!#REF!</definedName>
    <definedName name="Triagem_ResponsabilidadePgtoDespOperac">'Plan Diversas'!#REF!</definedName>
    <definedName name="Triagem_Supervisor_BaseCalcInsalubridade">'Plan Diversas'!#REF!</definedName>
    <definedName name="Triagem_Supervisor_Efetivo">'Plan Diversas'!#REF!</definedName>
    <definedName name="Triagem_Supervisor_FornecValeAliment">'Plan Diversas'!#REF!</definedName>
    <definedName name="Triagem_Supervisor_FornecValeTransporte">'Plan Diversas'!#REF!</definedName>
    <definedName name="Triagem_Supervisor_IndiceInsalubridade">'Plan Diversas'!#REF!</definedName>
    <definedName name="Triagem_Supervisor_PisoCategoria">'Plan Diversas'!#REF!</definedName>
    <definedName name="Triagem_Supervisor_VlrAuxAliment">'Plan Diversas'!#REF!</definedName>
    <definedName name="Triagem_Supervisor_VlrValeRefeicao">'Plan Diversas'!#REF!</definedName>
    <definedName name="Triagem_TerrenoAquisicaoAluguel">'Plan Diversas'!#REF!</definedName>
    <definedName name="Triagem_TipoEquipamento">'Plan Diversas'!#REF!</definedName>
    <definedName name="Triagem_TotalFrota">'Plan Diversas'!#REF!</definedName>
    <definedName name="Triagem_ValorAluguelEdificacao">'Plan Diversas'!#REF!</definedName>
    <definedName name="Triagem_ValorAluguelTerreno">'Plan Diversas'!#REF!</definedName>
    <definedName name="Triagem_ValorLicenciamento">'Plan Diversas'!#REF!</definedName>
    <definedName name="Triagem_ValorSeguroTerceiros">'Plan Diversas'!#REF!</definedName>
    <definedName name="Triagem_VidaUtilVeiculo">'Plan Diversas'!#REF!</definedName>
    <definedName name="Triagem_VlrValeTransporte">'Plan Diversas'!#REF!</definedName>
    <definedName name="ValorSalarioMinimoNacional">'[1]0. TABELAS'!$C$6</definedName>
    <definedName name="Veiculo_Municipio">'[1]1. Coleta Resíduos'!$A$374</definedName>
    <definedName name="Veiculo_Organicos">'[1]1. Coleta Resíduos'!$A$148</definedName>
    <definedName name="Veiculo_Reciclaveis">'[1]1. Coleta Resíduos'!$A$232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27" i="2" l="1"/>
  <c r="D185" i="2" l="1"/>
  <c r="C140" i="2" l="1"/>
  <c r="D125" i="2"/>
  <c r="E81" i="2"/>
  <c r="E87" i="2"/>
  <c r="E127" i="2" l="1"/>
  <c r="E114" i="2"/>
  <c r="E93" i="2"/>
  <c r="E72" i="2"/>
  <c r="E173" i="2"/>
  <c r="E165" i="2"/>
  <c r="E149" i="2"/>
  <c r="E44" i="2" l="1"/>
  <c r="A44" i="2"/>
  <c r="C80" i="2" l="1"/>
  <c r="C79" i="2"/>
  <c r="F61" i="10" l="1"/>
  <c r="F54" i="10"/>
  <c r="E41" i="10" l="1"/>
  <c r="M22" i="10" l="1"/>
  <c r="M23" i="10" s="1"/>
  <c r="J67" i="10" l="1"/>
  <c r="F19" i="10"/>
  <c r="C18" i="10"/>
  <c r="F18" i="10"/>
  <c r="C19" i="10"/>
  <c r="E9" i="10"/>
  <c r="F30" i="10"/>
  <c r="C30" i="10"/>
  <c r="H29" i="10"/>
  <c r="E29" i="10"/>
  <c r="H28" i="10"/>
  <c r="E28" i="10"/>
  <c r="F16" i="10"/>
  <c r="C16" i="10"/>
  <c r="H15" i="10"/>
  <c r="E15" i="10"/>
  <c r="F20" i="10" l="1"/>
  <c r="C178" i="2" s="1"/>
  <c r="G19" i="10"/>
  <c r="C20" i="10"/>
  <c r="C179" i="2" s="1"/>
  <c r="C185" i="2" s="1"/>
  <c r="E185" i="2" s="1"/>
  <c r="G18" i="10"/>
  <c r="J28" i="10"/>
  <c r="J15" i="10"/>
  <c r="J16" i="10" s="1"/>
  <c r="J29" i="10"/>
  <c r="E16" i="10"/>
  <c r="H30" i="10"/>
  <c r="F31" i="10"/>
  <c r="H16" i="10"/>
  <c r="E30" i="10"/>
  <c r="C21" i="9"/>
  <c r="C14" i="9"/>
  <c r="C15" i="9" s="1"/>
  <c r="C193" i="2" l="1"/>
  <c r="C189" i="2"/>
  <c r="C191" i="2"/>
  <c r="C187" i="2"/>
  <c r="C183" i="2"/>
  <c r="F67" i="10"/>
  <c r="H67" i="10" s="1"/>
  <c r="C17" i="9"/>
  <c r="C22" i="9" s="1"/>
  <c r="C24" i="9" s="1"/>
  <c r="G20" i="10"/>
  <c r="J30" i="10"/>
  <c r="G68" i="10" s="1"/>
  <c r="H68" i="10" s="1"/>
  <c r="H69" i="10" l="1"/>
  <c r="I69" i="10" s="1"/>
  <c r="I70" i="10" s="1"/>
  <c r="C23" i="5" l="1"/>
  <c r="C170" i="2" l="1"/>
  <c r="C169" i="2"/>
  <c r="C171" i="2"/>
  <c r="A33" i="2" l="1"/>
  <c r="A32" i="2"/>
  <c r="A31" i="2"/>
  <c r="A23" i="2"/>
  <c r="A22" i="2"/>
  <c r="A16" i="2"/>
  <c r="C145" i="2" l="1"/>
  <c r="E40" i="2" l="1"/>
  <c r="E39" i="2"/>
  <c r="C91" i="2" l="1"/>
  <c r="C113" i="2"/>
  <c r="C85" i="2"/>
  <c r="C126" i="2"/>
  <c r="C86" i="2"/>
  <c r="C92" i="2"/>
  <c r="C164" i="2"/>
  <c r="C159" i="2"/>
  <c r="D193" i="2"/>
  <c r="D191" i="2"/>
  <c r="D189" i="2"/>
  <c r="D187" i="2"/>
  <c r="D119" i="2" l="1"/>
  <c r="E119" i="2" s="1"/>
  <c r="E103" i="2"/>
  <c r="E104" i="2"/>
  <c r="E105" i="2"/>
  <c r="E106" i="2"/>
  <c r="E107" i="2"/>
  <c r="E108" i="2"/>
  <c r="E109" i="2"/>
  <c r="E110" i="2"/>
  <c r="E111" i="2"/>
  <c r="E102" i="2"/>
  <c r="C207" i="2" l="1"/>
  <c r="A30" i="2"/>
  <c r="A29" i="2"/>
  <c r="A28" i="2"/>
  <c r="A27" i="2"/>
  <c r="A26" i="2"/>
  <c r="A25" i="2"/>
  <c r="A24" i="2"/>
  <c r="A21" i="2"/>
  <c r="A20" i="2"/>
  <c r="A19" i="2"/>
  <c r="A18" i="2"/>
  <c r="A17" i="2"/>
  <c r="C20" i="8"/>
  <c r="E231" i="2"/>
  <c r="E60" i="2"/>
  <c r="D153" i="2"/>
  <c r="C15" i="4"/>
  <c r="C20" i="4" s="1"/>
  <c r="C240" i="2" s="1"/>
  <c r="F13" i="4"/>
  <c r="E13" i="4"/>
  <c r="D13" i="4"/>
  <c r="C17" i="8"/>
  <c r="C25" i="5"/>
  <c r="E64" i="2"/>
  <c r="D80" i="2" s="1"/>
  <c r="C205" i="2"/>
  <c r="E205" i="2" s="1"/>
  <c r="E187" i="2"/>
  <c r="D183" i="2"/>
  <c r="D194" i="2" s="1"/>
  <c r="E137" i="2"/>
  <c r="D158" i="2"/>
  <c r="C146" i="2"/>
  <c r="C141" i="2"/>
  <c r="C229" i="2"/>
  <c r="E229" i="2" s="1"/>
  <c r="D230" i="2" s="1"/>
  <c r="E230" i="2" s="1"/>
  <c r="C142" i="2"/>
  <c r="C158" i="2" s="1"/>
  <c r="A39" i="2"/>
  <c r="A40" i="2"/>
  <c r="E54" i="2"/>
  <c r="D79" i="2" s="1"/>
  <c r="A85" i="2"/>
  <c r="A91" i="2" s="1"/>
  <c r="A86" i="2"/>
  <c r="A92" i="2" s="1"/>
  <c r="E112" i="2"/>
  <c r="D120" i="2"/>
  <c r="E120" i="2" s="1"/>
  <c r="D121" i="2"/>
  <c r="E121" i="2" s="1"/>
  <c r="D122" i="2"/>
  <c r="E122" i="2" s="1"/>
  <c r="D123" i="2"/>
  <c r="E123" i="2" s="1"/>
  <c r="D124" i="2"/>
  <c r="E124" i="2" s="1"/>
  <c r="E125" i="2"/>
  <c r="E203" i="2"/>
  <c r="E171" i="2"/>
  <c r="E170" i="2"/>
  <c r="E215" i="2"/>
  <c r="E218" i="2"/>
  <c r="E219" i="2"/>
  <c r="E216" i="2"/>
  <c r="E217" i="2"/>
  <c r="F220" i="2" l="1"/>
  <c r="D67" i="2"/>
  <c r="E67" i="2" s="1"/>
  <c r="C27" i="5"/>
  <c r="C28" i="5" s="1"/>
  <c r="C26" i="5"/>
  <c r="C31" i="8" s="1"/>
  <c r="D140" i="2"/>
  <c r="E140" i="2" s="1"/>
  <c r="D169" i="2"/>
  <c r="E191" i="2"/>
  <c r="E193" i="2"/>
  <c r="F222" i="2"/>
  <c r="E31" i="2" s="1"/>
  <c r="E86" i="2"/>
  <c r="E183" i="2"/>
  <c r="E142" i="2"/>
  <c r="C160" i="2" s="1"/>
  <c r="D113" i="2"/>
  <c r="E85" i="2"/>
  <c r="F87" i="2" s="1"/>
  <c r="E41" i="2"/>
  <c r="E91" i="2"/>
  <c r="E79" i="2"/>
  <c r="E158" i="2"/>
  <c r="E92" i="2"/>
  <c r="D55" i="2"/>
  <c r="E55" i="2" s="1"/>
  <c r="E56" i="2" s="1"/>
  <c r="D57" i="2" s="1"/>
  <c r="E189" i="2"/>
  <c r="C198" i="2"/>
  <c r="E198" i="2" s="1"/>
  <c r="F199" i="2" s="1"/>
  <c r="E29" i="2" s="1"/>
  <c r="E227" i="2"/>
  <c r="D228" i="2" s="1"/>
  <c r="E228" i="2" s="1"/>
  <c r="F231" i="2" s="1"/>
  <c r="F233" i="2" s="1"/>
  <c r="E32" i="2" s="1"/>
  <c r="E153" i="2"/>
  <c r="D206" i="2"/>
  <c r="E206" i="2" s="1"/>
  <c r="D207" i="2" s="1"/>
  <c r="E207" i="2" s="1"/>
  <c r="F208" i="2" s="1"/>
  <c r="E30" i="2" s="1"/>
  <c r="E80" i="2"/>
  <c r="D126" i="2"/>
  <c r="E68" i="2"/>
  <c r="F81" i="2" l="1"/>
  <c r="E19" i="2" s="1"/>
  <c r="C30" i="8"/>
  <c r="C33" i="5"/>
  <c r="C27" i="8" s="1"/>
  <c r="C35" i="8" s="1"/>
  <c r="D141" i="2"/>
  <c r="E141" i="2" s="1"/>
  <c r="E169" i="2"/>
  <c r="D172" i="2" s="1"/>
  <c r="E172" i="2" s="1"/>
  <c r="F173" i="2" s="1"/>
  <c r="E27" i="2" s="1"/>
  <c r="C155" i="2"/>
  <c r="C156" i="2" s="1"/>
  <c r="D157" i="2" s="1"/>
  <c r="E157" i="2" s="1"/>
  <c r="C28" i="8"/>
  <c r="C19" i="8"/>
  <c r="C25" i="8" s="1"/>
  <c r="C34" i="8" s="1"/>
  <c r="F93" i="2"/>
  <c r="E21" i="2" s="1"/>
  <c r="E126" i="2"/>
  <c r="F127" i="2" s="1"/>
  <c r="E113" i="2"/>
  <c r="F114" i="2" s="1"/>
  <c r="D145" i="2"/>
  <c r="E145" i="2" s="1"/>
  <c r="D146" i="2" s="1"/>
  <c r="E146" i="2" s="1"/>
  <c r="F195" i="2"/>
  <c r="E28" i="2" s="1"/>
  <c r="D69" i="2"/>
  <c r="C29" i="8" l="1"/>
  <c r="C32" i="8" s="1"/>
  <c r="C36" i="8"/>
  <c r="E147" i="2"/>
  <c r="D148" i="2" s="1"/>
  <c r="E148" i="2" s="1"/>
  <c r="F149" i="2" s="1"/>
  <c r="E25" i="2" s="1"/>
  <c r="C161" i="2"/>
  <c r="D162" i="2" s="1"/>
  <c r="E162" i="2" s="1"/>
  <c r="E163" i="2" s="1"/>
  <c r="D164" i="2" s="1"/>
  <c r="E164" i="2" s="1"/>
  <c r="F165" i="2" s="1"/>
  <c r="F129" i="2"/>
  <c r="E22" i="2" s="1"/>
  <c r="C37" i="8" l="1"/>
  <c r="C69" i="2" s="1"/>
  <c r="E26" i="2"/>
  <c r="E24" i="2" s="1"/>
  <c r="E23" i="2" s="1"/>
  <c r="F210" i="2"/>
  <c r="C57" i="2" l="1"/>
  <c r="E57" i="2" s="1"/>
  <c r="E58" i="2" s="1"/>
  <c r="D59" i="2" s="1"/>
  <c r="E59" i="2" s="1"/>
  <c r="F60" i="2" s="1"/>
  <c r="E17" i="2" s="1"/>
  <c r="E69" i="2"/>
  <c r="E70" i="2" s="1"/>
  <c r="D71" i="2" s="1"/>
  <c r="E71" i="2" s="1"/>
  <c r="F72" i="2" s="1"/>
  <c r="E18" i="2" l="1"/>
  <c r="E20" i="2"/>
  <c r="F95" i="2"/>
  <c r="F235" i="2" s="1"/>
  <c r="E16" i="2" l="1"/>
  <c r="D240" i="2"/>
  <c r="E240" i="2" s="1"/>
  <c r="F241" i="2" s="1"/>
  <c r="F243" i="2" s="1"/>
  <c r="E33" i="2" s="1"/>
  <c r="F246" i="2" l="1"/>
  <c r="E34" i="2"/>
  <c r="F33" i="2" s="1"/>
  <c r="F18" i="2" l="1"/>
  <c r="F27" i="2"/>
  <c r="F29" i="2"/>
  <c r="F28" i="2"/>
  <c r="F19" i="2"/>
  <c r="F22" i="2"/>
  <c r="F23" i="2"/>
  <c r="F26" i="2"/>
  <c r="F17" i="2"/>
  <c r="F30" i="2"/>
  <c r="F24" i="2"/>
  <c r="F21" i="2"/>
  <c r="F32" i="2"/>
  <c r="F25" i="2"/>
  <c r="F31" i="2"/>
  <c r="F20" i="2"/>
  <c r="F16" i="2"/>
  <c r="F34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Clauber Bridi</author>
  </authors>
  <commentList>
    <comment ref="A14" authorId="0" shapeId="0" xr:uid="{00000000-0006-0000-0100-000001000000}">
      <text>
        <r>
          <rPr>
            <sz val="9"/>
            <color indexed="81"/>
            <rFont val="Tahoma"/>
            <family val="2"/>
          </rPr>
          <t>Qualquer custo previsto no edital e não contemplado nesta planilha modelo deverá ser devidamente incluído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47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Informar o fator de utilização das equipes de coleta. 
Por exemplo:
Equipes com utilização integral = 100%
Equipes com utilização parcial = n° horas trabalhadas por semana /44 horas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54" authorId="0" shapeId="0" xr:uid="{00000000-0006-0000-0100-000003000000}">
      <text>
        <r>
          <rPr>
            <sz val="9"/>
            <color indexed="81"/>
            <rFont val="Tahoma"/>
            <family val="2"/>
          </rPr>
          <t>Informar o Piso da categoria fixado na Convenção Coletiva</t>
        </r>
      </text>
    </comment>
    <comment ref="C57" authorId="0" shapeId="0" xr:uid="{00000000-0006-0000-0100-000004000000}">
      <text>
        <r>
          <rPr>
            <sz val="9"/>
            <color indexed="81"/>
            <rFont val="Tahoma"/>
            <family val="2"/>
          </rPr>
          <t xml:space="preserve">Preencher a planilha Encargos Sociais e CAGED </t>
        </r>
      </text>
    </comment>
    <comment ref="C59" authorId="0" shapeId="0" xr:uid="{00000000-0006-0000-0100-000005000000}">
      <text>
        <r>
          <rPr>
            <sz val="9"/>
            <color indexed="81"/>
            <rFont val="Tahoma"/>
            <family val="2"/>
          </rPr>
          <t>Informar a quantidade de trabalhadores na função</t>
        </r>
      </text>
    </comment>
    <comment ref="D64" authorId="0" shapeId="0" xr:uid="{00000000-0006-0000-0100-000006000000}">
      <text>
        <r>
          <rPr>
            <sz val="9"/>
            <color indexed="81"/>
            <rFont val="Tahoma"/>
            <family val="2"/>
          </rPr>
          <t>Informar o Piso da categoria fixado na Convenção Coletiva</t>
        </r>
      </text>
    </comment>
    <comment ref="D65" authorId="0" shapeId="0" xr:uid="{00000000-0006-0000-0100-000007000000}">
      <text>
        <r>
          <rPr>
            <sz val="9"/>
            <color indexed="81"/>
            <rFont val="Tahoma"/>
            <family val="2"/>
          </rPr>
          <t>Informar o valor do salário Mínimo Nacional</t>
        </r>
      </text>
    </comment>
    <comment ref="C66" authorId="0" shapeId="0" xr:uid="{00000000-0006-0000-0100-000008000000}">
      <text>
        <r>
          <rPr>
            <sz val="9"/>
            <color indexed="81"/>
            <rFont val="Tahoma"/>
            <family val="2"/>
          </rPr>
          <t xml:space="preserve">Informar 1 se a base de cálculo for o Salário Mínimo Nacional; Informar 2 se a base de cálculo for o Piso da Categoria; 
</t>
        </r>
      </text>
    </comment>
    <comment ref="C67" authorId="0" shapeId="0" xr:uid="{00000000-0006-0000-0100-000009000000}">
      <text>
        <r>
          <rPr>
            <sz val="9"/>
            <color indexed="81"/>
            <rFont val="Tahoma"/>
            <family val="2"/>
          </rPr>
          <t>Percentual estabelecido nas Normas de Segurança de Trabalho ou pelo laudo de responsável técnico devidamente habilitado</t>
        </r>
      </text>
    </comment>
    <comment ref="C69" authorId="0" shapeId="0" xr:uid="{00000000-0006-0000-0100-00000A000000}">
      <text>
        <r>
          <rPr>
            <sz val="9"/>
            <color indexed="81"/>
            <rFont val="Tahoma"/>
            <family val="2"/>
          </rPr>
          <t xml:space="preserve">Preencher a planilha Encargos Sociais e CAGED </t>
        </r>
      </text>
    </comment>
    <comment ref="C71" authorId="0" shapeId="0" xr:uid="{00000000-0006-0000-0100-00000B000000}">
      <text>
        <r>
          <rPr>
            <sz val="9"/>
            <color indexed="81"/>
            <rFont val="Tahoma"/>
            <family val="2"/>
          </rPr>
          <t>Informar a quantidade de trabalhadores na função</t>
        </r>
      </text>
    </comment>
    <comment ref="D77" authorId="0" shapeId="0" xr:uid="{00000000-0006-0000-0100-00000C000000}">
      <text>
        <r>
          <rPr>
            <sz val="9"/>
            <color indexed="81"/>
            <rFont val="Tahoma"/>
            <family val="2"/>
          </rPr>
          <t>Informar o valor unitário do VT no município</t>
        </r>
      </text>
    </comment>
    <comment ref="C78" authorId="0" shapeId="0" xr:uid="{00000000-0006-0000-0100-00000D000000}">
      <text>
        <r>
          <rPr>
            <sz val="9"/>
            <color indexed="81"/>
            <rFont val="Tahoma"/>
            <family val="2"/>
          </rPr>
          <t>Informar o número médio de dias trabalhados por mês</t>
        </r>
      </text>
    </comment>
    <comment ref="D79" authorId="0" shapeId="0" xr:uid="{00000000-0006-0000-0100-00000E000000}">
      <text>
        <r>
          <rPr>
            <sz val="9"/>
            <color indexed="81"/>
            <rFont val="Tahoma"/>
            <family val="2"/>
          </rPr>
          <t>Valor Unitário considerando o desconto legal de até 6% do salário</t>
        </r>
      </text>
    </comment>
    <comment ref="D80" authorId="0" shapeId="0" xr:uid="{00000000-0006-0000-0100-00000F000000}">
      <text>
        <r>
          <rPr>
            <sz val="9"/>
            <color indexed="81"/>
            <rFont val="Tahoma"/>
            <family val="2"/>
          </rPr>
          <t xml:space="preserve">Valor Unitário considerando o desconto legal de até 6% do salário
</t>
        </r>
      </text>
    </comment>
    <comment ref="D85" authorId="0" shapeId="0" xr:uid="{00000000-0006-0000-0100-000010000000}">
      <text>
        <r>
          <rPr>
            <sz val="9"/>
            <color indexed="81"/>
            <rFont val="Tahoma"/>
            <family val="2"/>
          </rPr>
          <t>Informar o valor unitário diário do vale refeição, considerando o desconto aplicável ao funcionário, conforme Convenção Coletiva da categoria.</t>
        </r>
      </text>
    </comment>
    <comment ref="D86" authorId="0" shapeId="0" xr:uid="{00000000-0006-0000-0100-000011000000}">
      <text>
        <r>
          <rPr>
            <sz val="9"/>
            <color indexed="81"/>
            <rFont val="Tahoma"/>
            <family val="2"/>
          </rPr>
          <t>Informar o valor unitário diário do vale refeição, considerando o desconto aplicável ao funcionário, conforme Convenção Coletiva da categoria.</t>
        </r>
      </text>
    </comment>
    <comment ref="D91" authorId="0" shapeId="0" xr:uid="{00000000-0006-0000-0100-000012000000}">
      <text>
        <r>
          <rPr>
            <sz val="9"/>
            <color indexed="81"/>
            <rFont val="Tahoma"/>
            <family val="2"/>
          </rPr>
          <t>Informar o valor mensal do auxilio alimentação, considerando o desconto aplicável ao funcionário, conforme Convenção Coletiva da categoria</t>
        </r>
      </text>
    </comment>
    <comment ref="D92" authorId="0" shapeId="0" xr:uid="{00000000-0006-0000-0100-000013000000}">
      <text>
        <r>
          <rPr>
            <sz val="9"/>
            <color indexed="81"/>
            <rFont val="Tahoma"/>
            <family val="2"/>
          </rPr>
          <t>Informar o valor mensal do auxilio alimentação, considerando o desconto aplicável ao funcionário, conforme Convenção Coletiva da categoria</t>
        </r>
      </text>
    </comment>
    <comment ref="C102" authorId="0" shapeId="0" xr:uid="{00000000-0006-0000-0100-000014000000}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D102" authorId="0" shapeId="0" xr:uid="{00000000-0006-0000-0100-000015000000}">
      <text>
        <r>
          <rPr>
            <sz val="9"/>
            <color indexed="81"/>
            <rFont val="Tahoma"/>
            <family val="2"/>
          </rPr>
          <t>Informar o valor unitário estimado para aquisição de cada EPI</t>
        </r>
      </text>
    </comment>
    <comment ref="C103" authorId="0" shapeId="0" xr:uid="{00000000-0006-0000-0100-000016000000}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D103" authorId="0" shapeId="0" xr:uid="{00000000-0006-0000-0100-000017000000}">
      <text>
        <r>
          <rPr>
            <sz val="9"/>
            <color indexed="81"/>
            <rFont val="Tahoma"/>
            <family val="2"/>
          </rPr>
          <t>Informar o valor unitário estimado para aquisição de cada EPI</t>
        </r>
      </text>
    </comment>
    <comment ref="C104" authorId="0" shapeId="0" xr:uid="{00000000-0006-0000-0100-000018000000}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D104" authorId="0" shapeId="0" xr:uid="{00000000-0006-0000-0100-000019000000}">
      <text>
        <r>
          <rPr>
            <sz val="9"/>
            <color indexed="81"/>
            <rFont val="Tahoma"/>
            <family val="2"/>
          </rPr>
          <t>Informar o valor unitário estimado para aquisição de cada EPI</t>
        </r>
      </text>
    </comment>
    <comment ref="C105" authorId="0" shapeId="0" xr:uid="{00000000-0006-0000-0100-00001A000000}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D105" authorId="0" shapeId="0" xr:uid="{00000000-0006-0000-0100-00001B000000}">
      <text>
        <r>
          <rPr>
            <sz val="9"/>
            <color indexed="81"/>
            <rFont val="Tahoma"/>
            <family val="2"/>
          </rPr>
          <t>Informar o valor unitário estimado para aquisição de cada EPI</t>
        </r>
      </text>
    </comment>
    <comment ref="C106" authorId="0" shapeId="0" xr:uid="{00000000-0006-0000-0100-00001C000000}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D106" authorId="0" shapeId="0" xr:uid="{00000000-0006-0000-0100-00001D000000}">
      <text>
        <r>
          <rPr>
            <sz val="9"/>
            <color indexed="81"/>
            <rFont val="Tahoma"/>
            <family val="2"/>
          </rPr>
          <t>Informar o valor unitário estimado para aquisição de cada EPI</t>
        </r>
      </text>
    </comment>
    <comment ref="C107" authorId="0" shapeId="0" xr:uid="{00000000-0006-0000-0100-00001E000000}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D107" authorId="0" shapeId="0" xr:uid="{00000000-0006-0000-0100-00001F000000}">
      <text>
        <r>
          <rPr>
            <sz val="9"/>
            <color indexed="81"/>
            <rFont val="Tahoma"/>
            <family val="2"/>
          </rPr>
          <t>Informar o valor unitário estimado para aquisição de cada EPI</t>
        </r>
      </text>
    </comment>
    <comment ref="C108" authorId="0" shapeId="0" xr:uid="{00000000-0006-0000-0100-000020000000}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D108" authorId="0" shapeId="0" xr:uid="{00000000-0006-0000-0100-000021000000}">
      <text>
        <r>
          <rPr>
            <sz val="9"/>
            <color indexed="81"/>
            <rFont val="Tahoma"/>
            <family val="2"/>
          </rPr>
          <t>Informar o valor unitário estimado para aquisição de cada EPI</t>
        </r>
      </text>
    </comment>
    <comment ref="C109" authorId="0" shapeId="0" xr:uid="{00000000-0006-0000-0100-000022000000}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D109" authorId="0" shapeId="0" xr:uid="{00000000-0006-0000-0100-000023000000}">
      <text>
        <r>
          <rPr>
            <sz val="9"/>
            <color indexed="81"/>
            <rFont val="Tahoma"/>
            <family val="2"/>
          </rPr>
          <t>Informar o valor unitário estimado para aquisição de cada EPI</t>
        </r>
      </text>
    </comment>
    <comment ref="C110" authorId="0" shapeId="0" xr:uid="{00000000-0006-0000-0100-000024000000}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D110" authorId="0" shapeId="0" xr:uid="{00000000-0006-0000-0100-000025000000}">
      <text>
        <r>
          <rPr>
            <sz val="9"/>
            <color indexed="81"/>
            <rFont val="Tahoma"/>
            <family val="2"/>
          </rPr>
          <t>Informar o valor unitário estimado para aquisição de cada EPI</t>
        </r>
      </text>
    </comment>
    <comment ref="C111" authorId="0" shapeId="0" xr:uid="{00000000-0006-0000-0100-000026000000}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D111" authorId="0" shapeId="0" xr:uid="{00000000-0006-0000-0100-000027000000}">
      <text>
        <r>
          <rPr>
            <sz val="9"/>
            <color indexed="81"/>
            <rFont val="Tahoma"/>
            <family val="2"/>
          </rPr>
          <t>Informar o valor unitário estimado para aquisição de cada EPI</t>
        </r>
      </text>
    </comment>
    <comment ref="D112" authorId="0" shapeId="0" xr:uid="{00000000-0006-0000-0100-000028000000}">
      <text>
        <r>
          <rPr>
            <sz val="9"/>
            <color indexed="81"/>
            <rFont val="Tahoma"/>
            <family val="2"/>
          </rPr>
          <t>Informar o valor mensal de higienização de uniforme para 1 funcionário</t>
        </r>
      </text>
    </comment>
    <comment ref="C119" authorId="0" shapeId="0" xr:uid="{00000000-0006-0000-0100-000029000000}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C120" authorId="0" shapeId="0" xr:uid="{00000000-0006-0000-0100-00002A000000}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C121" authorId="0" shapeId="0" xr:uid="{00000000-0006-0000-0100-00002B000000}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C122" authorId="0" shapeId="0" xr:uid="{00000000-0006-0000-0100-00002C000000}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C123" authorId="0" shapeId="0" xr:uid="{00000000-0006-0000-0100-00002D000000}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C124" authorId="0" shapeId="0" xr:uid="{00000000-0006-0000-0100-00002E000000}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D125" authorId="0" shapeId="0" xr:uid="{00000000-0006-0000-0100-00002F000000}">
      <text>
        <r>
          <rPr>
            <sz val="9"/>
            <color indexed="81"/>
            <rFont val="Tahoma"/>
            <family val="2"/>
          </rPr>
          <t>Informar o valor mensal de higienização de uniforme para 1 funcionário</t>
        </r>
      </text>
    </comment>
    <comment ref="D137" authorId="0" shapeId="0" xr:uid="{00000000-0006-0000-0100-000030000000}">
      <text>
        <r>
          <rPr>
            <sz val="9"/>
            <color indexed="81"/>
            <rFont val="Tahoma"/>
            <family val="2"/>
          </rPr>
          <t>Informar o preço unitário do chassis do caminhão de coleta</t>
        </r>
      </text>
    </comment>
    <comment ref="C138" authorId="0" shapeId="0" xr:uid="{00000000-0006-0000-0100-000031000000}">
      <text>
        <r>
          <rPr>
            <sz val="9"/>
            <color indexed="81"/>
            <rFont val="Tahoma"/>
            <family val="2"/>
          </rPr>
          <t>Informar a vida útil estimada para o caminhão, em anos</t>
        </r>
      </text>
    </comment>
    <comment ref="C139" authorId="0" shapeId="0" xr:uid="{00000000-0006-0000-0100-000032000000}">
      <text>
        <r>
          <rPr>
            <sz val="9"/>
            <color indexed="81"/>
            <rFont val="Tahoma"/>
            <family val="2"/>
          </rPr>
          <t>Na elaboração do orçamento-base da licitação, informar 0 (zero). Na proposta da licitante, informar a idade do veículo proposto.</t>
        </r>
      </text>
    </comment>
    <comment ref="C140" authorId="0" shapeId="0" xr:uid="{00000000-0006-0000-0100-000033000000}">
      <text>
        <r>
          <rPr>
            <b/>
            <sz val="9"/>
            <color indexed="81"/>
            <rFont val="Tahoma"/>
            <family val="2"/>
          </rPr>
          <t xml:space="preserve">Informar o valor da depreciação do caminhão, adotando o valor sugerido pelo TCE ou outro valor estimado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42" authorId="0" shapeId="0" xr:uid="{00000000-0006-0000-0100-000034000000}">
      <text>
        <r>
          <rPr>
            <sz val="9"/>
            <color indexed="81"/>
            <rFont val="Tahoma"/>
            <family val="2"/>
          </rPr>
          <t xml:space="preserve">Informar o preço unitário do equipamento compactador
</t>
        </r>
      </text>
    </comment>
    <comment ref="C143" authorId="0" shapeId="0" xr:uid="{00000000-0006-0000-0100-000035000000}">
      <text>
        <r>
          <rPr>
            <sz val="9"/>
            <color indexed="81"/>
            <rFont val="Tahoma"/>
            <family val="2"/>
          </rPr>
          <t>Informar a vida útil estimada para o compactador, em anos</t>
        </r>
      </text>
    </comment>
    <comment ref="C144" authorId="0" shapeId="0" xr:uid="{00000000-0006-0000-0100-000036000000}">
      <text>
        <r>
          <rPr>
            <sz val="9"/>
            <color indexed="81"/>
            <rFont val="Tahoma"/>
            <family val="2"/>
          </rPr>
          <t>Na elaboração do orçamento-base da licitação, informar 0 (zero). Na proposta da licitante, informar a idade do compactador proposto.</t>
        </r>
      </text>
    </comment>
    <comment ref="C145" authorId="0" shapeId="0" xr:uid="{00000000-0006-0000-0100-000037000000}">
      <text>
        <r>
          <rPr>
            <b/>
            <sz val="9"/>
            <color indexed="81"/>
            <rFont val="Tahoma"/>
            <family val="2"/>
          </rPr>
          <t xml:space="preserve">Informar o valor da depreciação do compactador, adotando o valor sugerido pelo TCE ou outro valor estimado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48" authorId="0" shapeId="0" xr:uid="{00000000-0006-0000-0100-000038000000}">
      <text>
        <r>
          <rPr>
            <sz val="9"/>
            <color indexed="81"/>
            <rFont val="Tahoma"/>
            <family val="2"/>
          </rPr>
          <t>Informar a quantidade de caminhões compactadores do respectivo modelo</t>
        </r>
      </text>
    </comment>
    <comment ref="C154" authorId="0" shapeId="0" xr:uid="{00000000-0006-0000-0100-000039000000}">
      <text>
        <r>
          <rPr>
            <b/>
            <sz val="9"/>
            <color indexed="81"/>
            <rFont val="Tahoma"/>
            <family val="2"/>
          </rPr>
          <t>Informar a taxa de juros anual para remuneração do capital. Recomenda-se o uso da Taxa SELIC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70" authorId="0" shapeId="0" xr:uid="{00000000-0006-0000-0100-00003A000000}">
      <text>
        <r>
          <rPr>
            <sz val="9"/>
            <color indexed="81"/>
            <rFont val="Tahoma"/>
            <family val="2"/>
          </rPr>
          <t xml:space="preserve">Informar o valor do seguro obrigatório e licenciamento anual de um caminhão
</t>
        </r>
      </text>
    </comment>
    <comment ref="D171" authorId="0" shapeId="0" xr:uid="{00000000-0006-0000-0100-00003B000000}">
      <text>
        <r>
          <rPr>
            <sz val="9"/>
            <color indexed="81"/>
            <rFont val="Tahoma"/>
            <family val="2"/>
          </rPr>
          <t xml:space="preserve">Informar o valor do seguro contra terceiros de um caminhão, se houver previsão no Projeto Básico
</t>
        </r>
      </text>
    </comment>
    <comment ref="C178" authorId="0" shapeId="0" xr:uid="{00000000-0006-0000-0100-00003C000000}">
      <text>
        <r>
          <rPr>
            <sz val="9"/>
            <color indexed="81"/>
            <rFont val="Tahoma"/>
            <family val="2"/>
          </rPr>
          <t xml:space="preserve">Informar o somatório da quilometragem mensal percorrida para o Roteiro 1 e Roteiro 2, de acordo com o projeto básico, com deslocamento até o ponto de início das coletas e para o transporte dos resíduos desde o fim do roteiro de coleta até o aterro sanitário
</t>
        </r>
      </text>
    </comment>
    <comment ref="C179" authorId="0" shapeId="0" xr:uid="{00000000-0006-0000-0100-00003D000000}">
      <text>
        <r>
          <rPr>
            <sz val="9"/>
            <color indexed="81"/>
            <rFont val="Tahoma"/>
            <family val="2"/>
          </rPr>
          <t>Informar o somatório da quilometragem mensal percorrida, para o Roteiro 1 e Roteiro 2, de acordo com o projeto básico, para execução do deslocamento ao longo dos roteiros de coletas propriamente ditos, desde o ponto de início até o ponto final do roteiro de coleta.</t>
        </r>
      </text>
    </comment>
    <comment ref="C182" authorId="0" shapeId="0" xr:uid="{00000000-0006-0000-0100-00003E000000}">
      <text>
        <r>
          <rPr>
            <sz val="9"/>
            <color indexed="81"/>
            <rFont val="Tahoma"/>
            <family val="2"/>
          </rPr>
          <t>Informar o consumo estimado do veículo em km/l</t>
        </r>
      </text>
    </comment>
    <comment ref="D182" authorId="0" shapeId="0" xr:uid="{00000000-0006-0000-0100-00003F000000}">
      <text>
        <r>
          <rPr>
            <sz val="9"/>
            <color indexed="81"/>
            <rFont val="Tahoma"/>
            <family val="2"/>
          </rPr>
          <t xml:space="preserve">Informar o preço unitário do combustivel
</t>
        </r>
      </text>
    </comment>
    <comment ref="C184" authorId="0" shapeId="0" xr:uid="{00000000-0006-0000-0100-000040000000}">
      <text>
        <r>
          <rPr>
            <sz val="9"/>
            <color indexed="81"/>
            <rFont val="Tahoma"/>
            <family val="2"/>
          </rPr>
          <t>Informar o consumo estimado do veículo em km/l</t>
        </r>
      </text>
    </comment>
    <comment ref="D184" authorId="0" shapeId="0" xr:uid="{00000000-0006-0000-0100-000041000000}">
      <text>
        <r>
          <rPr>
            <sz val="9"/>
            <color indexed="81"/>
            <rFont val="Tahoma"/>
            <family val="2"/>
          </rPr>
          <t xml:space="preserve">Informar o preço unitário do combustivel
</t>
        </r>
      </text>
    </comment>
    <comment ref="C186" authorId="0" shapeId="0" xr:uid="{00000000-0006-0000-0100-000042000000}">
      <text>
        <r>
          <rPr>
            <sz val="9"/>
            <color indexed="81"/>
            <rFont val="Tahoma"/>
            <family val="2"/>
          </rPr>
          <t>Informar o consumo de óleo do motor a cada 1000km</t>
        </r>
      </text>
    </comment>
    <comment ref="D186" authorId="0" shapeId="0" xr:uid="{00000000-0006-0000-0100-000043000000}">
      <text>
        <r>
          <rPr>
            <sz val="9"/>
            <color indexed="81"/>
            <rFont val="Tahoma"/>
            <family val="2"/>
          </rPr>
          <t xml:space="preserve">Informar o preço unitário do litro do óleo do motor
</t>
        </r>
      </text>
    </comment>
    <comment ref="C188" authorId="0" shapeId="0" xr:uid="{00000000-0006-0000-0100-000044000000}">
      <text>
        <r>
          <rPr>
            <sz val="9"/>
            <color indexed="81"/>
            <rFont val="Tahoma"/>
            <family val="2"/>
          </rPr>
          <t>Informar o consumo de óleo da transmissão a cada 1000km</t>
        </r>
      </text>
    </comment>
    <comment ref="D188" authorId="0" shapeId="0" xr:uid="{00000000-0006-0000-0100-000045000000}">
      <text>
        <r>
          <rPr>
            <sz val="9"/>
            <color indexed="81"/>
            <rFont val="Tahoma"/>
            <family val="2"/>
          </rPr>
          <t xml:space="preserve">Informar o preço unitário do litro do óleo da transmissão
</t>
        </r>
      </text>
    </comment>
    <comment ref="C190" authorId="0" shapeId="0" xr:uid="{00000000-0006-0000-0100-000046000000}">
      <text>
        <r>
          <rPr>
            <sz val="9"/>
            <color indexed="81"/>
            <rFont val="Tahoma"/>
            <family val="2"/>
          </rPr>
          <t>Informar o consumo de óleo hidráulico a cada 1000km</t>
        </r>
      </text>
    </comment>
    <comment ref="D190" authorId="0" shapeId="0" xr:uid="{00000000-0006-0000-0100-000047000000}">
      <text>
        <r>
          <rPr>
            <sz val="9"/>
            <color indexed="81"/>
            <rFont val="Tahoma"/>
            <family val="2"/>
          </rPr>
          <t xml:space="preserve">Informar o preço unitário do litro do óleo hidráulico
</t>
        </r>
      </text>
    </comment>
    <comment ref="C192" authorId="0" shapeId="0" xr:uid="{00000000-0006-0000-0100-000048000000}">
      <text>
        <r>
          <rPr>
            <sz val="9"/>
            <color indexed="81"/>
            <rFont val="Tahoma"/>
            <family val="2"/>
          </rPr>
          <t>Informar o consumo de graxa a cada 1000km</t>
        </r>
      </text>
    </comment>
    <comment ref="D192" authorId="0" shapeId="0" xr:uid="{00000000-0006-0000-0100-000049000000}">
      <text>
        <r>
          <rPr>
            <sz val="9"/>
            <color indexed="81"/>
            <rFont val="Tahoma"/>
            <family val="2"/>
          </rPr>
          <t xml:space="preserve">Informar o preço unitário do litro da graxa
</t>
        </r>
      </text>
    </comment>
    <comment ref="D198" authorId="0" shapeId="0" xr:uid="{00000000-0006-0000-0100-00004A000000}">
      <text>
        <r>
          <rPr>
            <sz val="9"/>
            <color indexed="81"/>
            <rFont val="Tahoma"/>
            <family val="2"/>
          </rPr>
          <t xml:space="preserve">Informar o custo de manutenção em R$/km rodado
</t>
        </r>
      </text>
    </comment>
    <comment ref="C203" authorId="0" shapeId="0" xr:uid="{00000000-0006-0000-0100-00004B000000}">
      <text>
        <r>
          <rPr>
            <sz val="9"/>
            <color indexed="81"/>
            <rFont val="Tahoma"/>
            <family val="2"/>
          </rPr>
          <t>Informar a quantidade de pneus novos de 1 caminhão</t>
        </r>
      </text>
    </comment>
    <comment ref="D203" authorId="0" shapeId="0" xr:uid="{00000000-0006-0000-0100-00004C000000}">
      <text>
        <r>
          <rPr>
            <sz val="9"/>
            <color indexed="81"/>
            <rFont val="Tahoma"/>
            <family val="2"/>
          </rPr>
          <t xml:space="preserve">Informar o preço unitário de cada pneu
</t>
        </r>
      </text>
    </comment>
    <comment ref="C204" authorId="0" shapeId="0" xr:uid="{00000000-0006-0000-0100-00004D000000}">
      <text>
        <r>
          <rPr>
            <sz val="9"/>
            <color indexed="81"/>
            <rFont val="Tahoma"/>
            <family val="2"/>
          </rPr>
          <t>Informar o número de recapagens por pneu</t>
        </r>
      </text>
    </comment>
    <comment ref="D205" authorId="0" shapeId="0" xr:uid="{00000000-0006-0000-0100-00004E000000}">
      <text>
        <r>
          <rPr>
            <sz val="9"/>
            <color indexed="81"/>
            <rFont val="Tahoma"/>
            <family val="2"/>
          </rPr>
          <t xml:space="preserve">Informar o preço unitário de cada recapagem
</t>
        </r>
      </text>
    </comment>
    <comment ref="C206" authorId="0" shapeId="0" xr:uid="{00000000-0006-0000-0100-00004F000000}">
      <text>
        <r>
          <rPr>
            <sz val="9"/>
            <color indexed="81"/>
            <rFont val="Tahoma"/>
            <family val="2"/>
          </rPr>
          <t xml:space="preserve">Informar a durabilidade média dos pneus considerando todas as recapagens, em km
</t>
        </r>
      </text>
    </comment>
    <comment ref="C215" authorId="0" shapeId="0" xr:uid="{00000000-0006-0000-0100-000050000000}">
      <text>
        <r>
          <rPr>
            <sz val="9"/>
            <color indexed="81"/>
            <rFont val="Tahoma"/>
            <family val="2"/>
          </rPr>
          <t xml:space="preserve">Informar a quantidade estimada por mês. Por exemplo, se a durabilidade estimada é de 6 meses, informar 1/6; se a durabilidade estimada é de 3 meses informar 1/3, etc..
</t>
        </r>
      </text>
    </comment>
    <comment ref="D215" authorId="0" shapeId="0" xr:uid="{00000000-0006-0000-0100-000051000000}">
      <text>
        <r>
          <rPr>
            <sz val="9"/>
            <color indexed="81"/>
            <rFont val="Tahoma"/>
            <family val="2"/>
          </rPr>
          <t>Informar o valor unitário estimado para aquisição de cada material</t>
        </r>
      </text>
    </comment>
    <comment ref="C216" authorId="0" shapeId="0" xr:uid="{00000000-0006-0000-0100-000052000000}">
      <text>
        <r>
          <rPr>
            <sz val="9"/>
            <color indexed="81"/>
            <rFont val="Tahoma"/>
            <family val="2"/>
          </rPr>
          <t xml:space="preserve">Informar a quantidade estimada por mês. Por exemplo, se a durabilidade estimada é de 6 meses, informar 1/6; se a durabilidade estimada é de 3 meses informar 1/3, etc..
</t>
        </r>
      </text>
    </comment>
    <comment ref="D216" authorId="0" shapeId="0" xr:uid="{00000000-0006-0000-0100-000053000000}">
      <text>
        <r>
          <rPr>
            <sz val="9"/>
            <color indexed="81"/>
            <rFont val="Tahoma"/>
            <family val="2"/>
          </rPr>
          <t>Informar o valor unitário estimado para aquisição de cada material</t>
        </r>
      </text>
    </comment>
    <comment ref="C217" authorId="0" shapeId="0" xr:uid="{00000000-0006-0000-0100-000054000000}">
      <text>
        <r>
          <rPr>
            <sz val="9"/>
            <color indexed="81"/>
            <rFont val="Tahoma"/>
            <family val="2"/>
          </rPr>
          <t xml:space="preserve">Informar a quantidade estimada por mês. Por exemplo, se a durabilidade estimada é de 6 meses, informar 1/6; se a durabilidade estimada é de 3 meses informar 1/3, etc..
</t>
        </r>
      </text>
    </comment>
    <comment ref="D217" authorId="0" shapeId="0" xr:uid="{00000000-0006-0000-0100-000055000000}">
      <text>
        <r>
          <rPr>
            <sz val="9"/>
            <color indexed="81"/>
            <rFont val="Tahoma"/>
            <family val="2"/>
          </rPr>
          <t>Informar o valor unitário estimado para aquisição de cada material</t>
        </r>
      </text>
    </comment>
    <comment ref="C218" authorId="0" shapeId="0" xr:uid="{00000000-0006-0000-0100-000056000000}">
      <text>
        <r>
          <rPr>
            <sz val="9"/>
            <color indexed="81"/>
            <rFont val="Tahoma"/>
            <family val="2"/>
          </rPr>
          <t xml:space="preserve">Informar a quantidade estimada por mês. Por exemplo, se a durabilidade estimada é de 6 meses, informar 1/6; se a durabilidade estimada é de 3 meses informar 1/3, etc..
</t>
        </r>
      </text>
    </comment>
    <comment ref="D218" authorId="0" shapeId="0" xr:uid="{00000000-0006-0000-0100-000057000000}">
      <text>
        <r>
          <rPr>
            <sz val="9"/>
            <color indexed="81"/>
            <rFont val="Tahoma"/>
            <family val="2"/>
          </rPr>
          <t>Informar o valor unitário estimado para aquisição de cada material</t>
        </r>
      </text>
    </comment>
    <comment ref="C219" authorId="0" shapeId="0" xr:uid="{00000000-0006-0000-0100-000058000000}">
      <text>
        <r>
          <rPr>
            <sz val="9"/>
            <color indexed="81"/>
            <rFont val="Tahoma"/>
            <family val="2"/>
          </rPr>
          <t xml:space="preserve">Informar a quantidade estimada por mês. Por exemplo, se a durabilidade estimada é de 6 meses, informar 1/6; se a durabilidade estimada é de 3 meses informar 1/3, etc..
</t>
        </r>
      </text>
    </comment>
    <comment ref="D219" authorId="0" shapeId="0" xr:uid="{00000000-0006-0000-0100-000059000000}">
      <text>
        <r>
          <rPr>
            <sz val="9"/>
            <color indexed="81"/>
            <rFont val="Tahoma"/>
            <family val="2"/>
          </rPr>
          <t>Informar o valor unitário estimado para aquisição de cada material</t>
        </r>
      </text>
    </comment>
    <comment ref="E220" authorId="0" shapeId="0" xr:uid="{00000000-0006-0000-0100-00005A000000}">
      <text>
        <r>
          <rPr>
            <sz val="9"/>
            <color indexed="81"/>
            <rFont val="Tahoma"/>
            <family val="2"/>
          </rPr>
          <t>Informar o número de veículos da frota a serem empregados nos serviços de coleta no município</t>
        </r>
      </text>
    </comment>
    <comment ref="A224" authorId="0" shapeId="0" xr:uid="{00000000-0006-0000-0100-00005B000000}">
      <text>
        <r>
          <rPr>
            <b/>
            <sz val="9"/>
            <color indexed="81"/>
            <rFont val="Tahoma"/>
            <family val="2"/>
          </rPr>
          <t>Especificar somente quando for exigido no Projeto Básico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27" authorId="0" shapeId="0" xr:uid="{00000000-0006-0000-0100-00005C000000}">
      <text>
        <r>
          <rPr>
            <sz val="9"/>
            <color indexed="81"/>
            <rFont val="Tahoma"/>
            <family val="2"/>
          </rPr>
          <t>Informar o valor total para instalação do equipamento de monitoramento da frota, se houver previsão no Projeto Básico</t>
        </r>
      </text>
    </comment>
    <comment ref="D229" authorId="0" shapeId="0" xr:uid="{00000000-0006-0000-0100-00005D000000}">
      <text>
        <r>
          <rPr>
            <sz val="9"/>
            <color indexed="81"/>
            <rFont val="Tahoma"/>
            <family val="2"/>
          </rPr>
          <t>Informar o valor unitário mensal para manutenção dos equipamentos de monitoramento</t>
        </r>
      </text>
    </comment>
    <comment ref="C240" authorId="0" shapeId="0" xr:uid="{00000000-0006-0000-0100-00005E000000}">
      <text>
        <r>
          <rPr>
            <sz val="9"/>
            <color indexed="81"/>
            <rFont val="Tahoma"/>
            <family val="2"/>
          </rPr>
          <t>Preencher a aba 4.BDI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Clauber Bridi</author>
  </authors>
  <commentList>
    <comment ref="C12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Informar o % de Administração Central estimado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3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>Informar o % de Seguros, Riscos e Garantia estimado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4" authorId="0" shapeId="0" xr:uid="{00000000-0006-0000-0400-000003000000}">
      <text>
        <r>
          <rPr>
            <b/>
            <sz val="9"/>
            <color indexed="81"/>
            <rFont val="Tahoma"/>
            <family val="2"/>
          </rPr>
          <t>Informar o % de Lucro estimado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5" authorId="0" shapeId="0" xr:uid="{00000000-0006-0000-0400-000004000000}">
      <text>
        <r>
          <rPr>
            <b/>
            <sz val="9"/>
            <color indexed="81"/>
            <rFont val="Tahoma"/>
            <family val="2"/>
          </rPr>
          <t>Informar o valor anual da taxa financeira, em percentual. Admite-se utilizar a SELIC</t>
        </r>
      </text>
    </comment>
    <comment ref="C16" authorId="0" shapeId="0" xr:uid="{00000000-0006-0000-0400-000005000000}">
      <text>
        <r>
          <rPr>
            <b/>
            <sz val="9"/>
            <color indexed="81"/>
            <rFont val="Tahoma"/>
            <family val="2"/>
          </rPr>
          <t>Informar o percentual de ISS, de acordo com a legislação tributária do município onde serão prestados os serviços. De 2% até o limite de 5%.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6" authorId="0" shapeId="0" xr:uid="{00000000-0006-0000-0400-000006000000}">
      <text>
        <r>
          <rPr>
            <b/>
            <sz val="9"/>
            <color indexed="81"/>
            <rFont val="Tahoma"/>
            <family val="2"/>
          </rPr>
          <t>Informar a média de dias úteis entre data de pagamento prevista no contrato e a data final do período de adimplemento da parcela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7" authorId="0" shapeId="0" xr:uid="{00000000-0006-0000-0400-000007000000}">
      <text>
        <r>
          <rPr>
            <b/>
            <sz val="9"/>
            <color indexed="81"/>
            <rFont val="Tahoma"/>
            <family val="2"/>
          </rPr>
          <t xml:space="preserve">Informar o valor estimado de PIS/COFINS. </t>
        </r>
        <r>
          <rPr>
            <sz val="9"/>
            <color indexed="81"/>
            <rFont val="Tahoma"/>
            <family val="2"/>
          </rPr>
          <t xml:space="preserve">
1. Adotar 0,65% PIS + 3% COFINS quando o valor anual estimado do contrato for inferior ao limite para tributação pelo regime de incidência não-cumulativa (lucro presumido);
2. Adotar 1,65% PIS + 7,6% COFINS quando o valor anual estimado do contrato for superior ao limite para tributação pelo regime de incidência não-cumulativa (lucro real);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cbridi</author>
    <author>Clauber Bridi</author>
    <author>Omar</author>
  </authors>
  <commentList>
    <comment ref="C12" authorId="0" shapeId="0" xr:uid="{00000000-0006-0000-0700-000001000000}">
      <text>
        <r>
          <rPr>
            <sz val="8"/>
            <color indexed="81"/>
            <rFont val="Tahoma"/>
            <family val="2"/>
          </rPr>
          <t>Informar a população do município a ser atendida</t>
        </r>
      </text>
    </comment>
    <comment ref="C13" authorId="1" shapeId="0" xr:uid="{00000000-0006-0000-0700-000002000000}">
      <text>
        <r>
          <rPr>
            <b/>
            <sz val="9"/>
            <color indexed="81"/>
            <rFont val="Tahoma"/>
            <family val="2"/>
          </rPr>
          <t>Caso o município possua informações de pesagem, ajustar com o valor da geração média per capita realizada nos últimos 12 meses</t>
        </r>
      </text>
    </comment>
    <comment ref="C14" authorId="2" shapeId="0" xr:uid="{00000000-0006-0000-0700-000003000000}">
      <text>
        <r>
          <rPr>
            <sz val="9"/>
            <color indexed="81"/>
            <rFont val="Tahoma"/>
            <family val="2"/>
          </rPr>
          <t>retorna a geração diária a ser recolhida</t>
        </r>
      </text>
    </comment>
    <comment ref="C16" authorId="0" shapeId="0" xr:uid="{00000000-0006-0000-0700-000004000000}">
      <text>
        <r>
          <rPr>
            <b/>
            <sz val="8"/>
            <color indexed="81"/>
            <rFont val="Tahoma"/>
            <family val="2"/>
          </rPr>
          <t>Informe o número de dias de coleta por semana</t>
        </r>
      </text>
    </comment>
    <comment ref="C19" authorId="0" shapeId="0" xr:uid="{00000000-0006-0000-0700-000005000000}">
      <text>
        <r>
          <rPr>
            <sz val="8"/>
            <color indexed="81"/>
            <rFont val="Tahoma"/>
            <family val="2"/>
          </rPr>
          <t>Informar 1 para caminhão toco; Informar 2 para caminhão truck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C20" authorId="0" shapeId="0" xr:uid="{00000000-0006-0000-0700-000006000000}">
      <text>
        <r>
          <rPr>
            <sz val="8"/>
            <color indexed="81"/>
            <rFont val="Tahoma"/>
            <family val="2"/>
          </rPr>
          <t>Informar a capacidade do compactador em m³</t>
        </r>
      </text>
    </comment>
    <comment ref="C23" authorId="1" shapeId="0" xr:uid="{00000000-0006-0000-0700-000007000000}">
      <text>
        <r>
          <rPr>
            <sz val="8"/>
            <color indexed="81"/>
            <rFont val="Tahoma"/>
            <family val="2"/>
          </rPr>
          <t xml:space="preserve">Informar o número de percursos de coleta (cargas) que cada caminhão realiza por dia, considerando todos os turnos de trabalho. </t>
        </r>
      </text>
    </comment>
  </commentList>
</comments>
</file>

<file path=xl/sharedStrings.xml><?xml version="1.0" encoding="utf-8"?>
<sst xmlns="http://schemas.openxmlformats.org/spreadsheetml/2006/main" count="648" uniqueCount="401">
  <si>
    <t>Adicional de Insalubridade</t>
  </si>
  <si>
    <t>%</t>
  </si>
  <si>
    <t>Soma</t>
  </si>
  <si>
    <t>Encargos Sociais</t>
  </si>
  <si>
    <t>Total do Efetivo</t>
  </si>
  <si>
    <t>homem</t>
  </si>
  <si>
    <t>mês</t>
  </si>
  <si>
    <t>vale</t>
  </si>
  <si>
    <t>unidade</t>
  </si>
  <si>
    <t>Colete reflexivo</t>
  </si>
  <si>
    <t>IPVA</t>
  </si>
  <si>
    <t>Seguro contra terceiros</t>
  </si>
  <si>
    <t>Impostos e seguros mensais</t>
  </si>
  <si>
    <t>km/l</t>
  </si>
  <si>
    <t>km</t>
  </si>
  <si>
    <t>l/1.000 km</t>
  </si>
  <si>
    <t>Custo mensal com óleo do motor</t>
  </si>
  <si>
    <t>Custo mensal com óleo da transmissão</t>
  </si>
  <si>
    <t>Custo mensal com óleo hidráulico</t>
  </si>
  <si>
    <t>Custo de graxa /1.000 km rodados</t>
  </si>
  <si>
    <t>kg/1.000 km</t>
  </si>
  <si>
    <t>Custo mensal com graxa</t>
  </si>
  <si>
    <t>km/jogo</t>
  </si>
  <si>
    <t>Pá de Concha</t>
  </si>
  <si>
    <t>Vassoura</t>
  </si>
  <si>
    <t>Calça</t>
  </si>
  <si>
    <t>Camiseta</t>
  </si>
  <si>
    <t>Luva de proteção</t>
  </si>
  <si>
    <t>R$</t>
  </si>
  <si>
    <t>Benefícios e despesas indiretas</t>
  </si>
  <si>
    <t>Custo mensal com manutenção</t>
  </si>
  <si>
    <t>Custo (R$/mês)</t>
  </si>
  <si>
    <t>Mão-de-obra</t>
  </si>
  <si>
    <t>Quantidade</t>
  </si>
  <si>
    <t>INSS</t>
  </si>
  <si>
    <t>FGTS</t>
  </si>
  <si>
    <t>Planilha de Composição de Custos</t>
  </si>
  <si>
    <t>Motorista</t>
  </si>
  <si>
    <t>2. Uniformes e Equipamentos de Proteção Individual</t>
  </si>
  <si>
    <t>3.1.1. Depreciação</t>
  </si>
  <si>
    <t>1. Mão-de-obra</t>
  </si>
  <si>
    <t>par</t>
  </si>
  <si>
    <t>frasco 120g</t>
  </si>
  <si>
    <t>Depreciação mensal veículos coletores</t>
  </si>
  <si>
    <t>3.1.3. Impostos e Seguros</t>
  </si>
  <si>
    <t>3.1.4. Consumos</t>
  </si>
  <si>
    <t>3.1.5. Manutenção</t>
  </si>
  <si>
    <t>3. Veículos e Equipamentos</t>
  </si>
  <si>
    <t>Custo mensal com pneus</t>
  </si>
  <si>
    <t>Veículos e Equipamentos</t>
  </si>
  <si>
    <t>Publicidade (adesivos equipamentos)</t>
  </si>
  <si>
    <t>cj</t>
  </si>
  <si>
    <t>Total de mão-de-obra (postos de trabalho)</t>
  </si>
  <si>
    <t>Publicidade (adesivos veículos)</t>
  </si>
  <si>
    <t>Custo mensal com implantação</t>
  </si>
  <si>
    <t>3.1.6. Pneus</t>
  </si>
  <si>
    <t>Protetor solar FPS 30</t>
  </si>
  <si>
    <t>Discriminação</t>
  </si>
  <si>
    <t>Unidade</t>
  </si>
  <si>
    <t>Subtotal</t>
  </si>
  <si>
    <r>
      <t xml:space="preserve">Total </t>
    </r>
    <r>
      <rPr>
        <b/>
        <u/>
        <sz val="9"/>
        <rFont val="Arial"/>
        <family val="2"/>
      </rPr>
      <t>(R$)</t>
    </r>
  </si>
  <si>
    <t>Jaqueta com reflexivo (NBR 15.292)</t>
  </si>
  <si>
    <t>Capa de chuva amarela com reflexivo</t>
  </si>
  <si>
    <t>Botina de segurança c/ palmilha aço</t>
  </si>
  <si>
    <t>Custo de recapagem</t>
  </si>
  <si>
    <t>Recipiente térmico para água (5L)</t>
  </si>
  <si>
    <t>Total por Coletor</t>
  </si>
  <si>
    <t>Coletor</t>
  </si>
  <si>
    <t>4. Ferramentas e Materiais de Consumo</t>
  </si>
  <si>
    <t>5. Monitoramento da Frota</t>
  </si>
  <si>
    <t>Administração Central</t>
  </si>
  <si>
    <t>AC</t>
  </si>
  <si>
    <t>Seguros/Riscos/Garantias</t>
  </si>
  <si>
    <t>SRG</t>
  </si>
  <si>
    <t>Lucro</t>
  </si>
  <si>
    <t>L</t>
  </si>
  <si>
    <t>Despesas Financeiras</t>
  </si>
  <si>
    <t>DF</t>
  </si>
  <si>
    <t>Tributos - ISS</t>
  </si>
  <si>
    <t>T</t>
  </si>
  <si>
    <t>Tributos - PIS/COFINS</t>
  </si>
  <si>
    <t>Fórmula para o cálculo do BDI:</t>
  </si>
  <si>
    <t>{[(1+AC+SRG) x (1+L) x (1+DF)] / (1-T)} -1</t>
  </si>
  <si>
    <t>Resultado do cálculo do BDI:</t>
  </si>
  <si>
    <t>6. Benefícios e Despesas Indiretas - BDI</t>
  </si>
  <si>
    <t>Vale Transporte</t>
  </si>
  <si>
    <t>Dias Trabalhados por mês</t>
  </si>
  <si>
    <t>dia</t>
  </si>
  <si>
    <t>Custo Mensal com Mão-de-obra (R$/mês)</t>
  </si>
  <si>
    <t>Meia de algodão com cano alto</t>
  </si>
  <si>
    <t>Quantitativos</t>
  </si>
  <si>
    <t>Vida útil do chassis</t>
  </si>
  <si>
    <t>anos</t>
  </si>
  <si>
    <t>Depreciação do chassis</t>
  </si>
  <si>
    <t>Custo de aquisição do chassis</t>
  </si>
  <si>
    <t>i = taxa de juros do mercado (sugere-se adotar a taxa SELIC)</t>
  </si>
  <si>
    <t>n = vida útil do bem em anos</t>
  </si>
  <si>
    <t>Custo do chassis</t>
  </si>
  <si>
    <t>Custo do compactador</t>
  </si>
  <si>
    <t>3.1.2. Remuneração do Capital</t>
  </si>
  <si>
    <t>Im = investimento médio</t>
  </si>
  <si>
    <t>Remuneração mensal de capital do compactador</t>
  </si>
  <si>
    <t>Investimento médio total do chassis</t>
  </si>
  <si>
    <t>Remuneração mensal de capital do chassis</t>
  </si>
  <si>
    <t>Investimento médio total do compactador</t>
  </si>
  <si>
    <t>Custo de manutenção dos caminhões</t>
  </si>
  <si>
    <t>R$/km rodado</t>
  </si>
  <si>
    <t>Número de recapagens por pneu</t>
  </si>
  <si>
    <t>R$ mensal</t>
  </si>
  <si>
    <t>Admissões</t>
  </si>
  <si>
    <t>Desligamentos</t>
  </si>
  <si>
    <t>Dispensados com justa causa</t>
  </si>
  <si>
    <t>Dispensados sem justa causa</t>
  </si>
  <si>
    <t>Espontâneos</t>
  </si>
  <si>
    <t>Fim de contrato por prazo determinado</t>
  </si>
  <si>
    <t>Término de contrato</t>
  </si>
  <si>
    <t>Aposentados</t>
  </si>
  <si>
    <t>Mortos</t>
  </si>
  <si>
    <t>Transferência de saída</t>
  </si>
  <si>
    <t xml:space="preserve"> </t>
  </si>
  <si>
    <t>Indicadores</t>
  </si>
  <si>
    <t>Dias ano</t>
  </si>
  <si>
    <t>Estoque Médio</t>
  </si>
  <si>
    <t>Multa FGTS</t>
  </si>
  <si>
    <t>Dias de Aviso prévio</t>
  </si>
  <si>
    <t>Código</t>
  </si>
  <si>
    <t>Descrição</t>
  </si>
  <si>
    <t>Valor</t>
  </si>
  <si>
    <t>A1</t>
  </si>
  <si>
    <t>A2</t>
  </si>
  <si>
    <t>SESI</t>
  </si>
  <si>
    <t>A3</t>
  </si>
  <si>
    <t>SENAI</t>
  </si>
  <si>
    <t>A4</t>
  </si>
  <si>
    <t>INCRA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</si>
  <si>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</si>
  <si>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</si>
  <si>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</si>
  <si>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</si>
  <si>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</si>
  <si>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</si>
  <si>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</si>
  <si>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A</t>
  </si>
  <si>
    <t>SOMA GRUPO A</t>
  </si>
  <si>
    <t>B1</t>
  </si>
  <si>
    <t>Férias gozadas</t>
  </si>
  <si>
    <t>B2</t>
  </si>
  <si>
    <t>13º salário</t>
  </si>
  <si>
    <t>B4</t>
  </si>
  <si>
    <t>Licença Paternidade</t>
  </si>
  <si>
    <t>B5</t>
  </si>
  <si>
    <t>Faltas justificadas</t>
  </si>
  <si>
    <t>B6</t>
  </si>
  <si>
    <t>Auxilio acidente de trabalho</t>
  </si>
  <si>
    <t>Auxilio doença</t>
  </si>
  <si>
    <t>B</t>
  </si>
  <si>
    <t>SOMA GRUPO B</t>
  </si>
  <si>
    <t>C1</t>
  </si>
  <si>
    <t>Aviso prévio indenizado</t>
  </si>
  <si>
    <t>C3</t>
  </si>
  <si>
    <t xml:space="preserve">Férias indenizadas </t>
  </si>
  <si>
    <t>C4</t>
  </si>
  <si>
    <t>Férias indenizadas s/ aviso previo inden.</t>
  </si>
  <si>
    <t>C5</t>
  </si>
  <si>
    <t>Depósito rescisão sem justa causa</t>
  </si>
  <si>
    <t>Indenização adicional</t>
  </si>
  <si>
    <t>C</t>
  </si>
  <si>
    <t>SOMA GRUPO C</t>
  </si>
  <si>
    <t>D1</t>
  </si>
  <si>
    <t>Reincidência de Grupo A sobre Grupo B</t>
  </si>
  <si>
    <t>D2</t>
  </si>
  <si>
    <t>D</t>
  </si>
  <si>
    <t>SOMA GRUPO D</t>
  </si>
  <si>
    <t>SOMA (A+B+C+D)</t>
  </si>
  <si>
    <t>1° Quartil</t>
  </si>
  <si>
    <t>Médio</t>
  </si>
  <si>
    <t>3° Quartil</t>
  </si>
  <si>
    <t>DU</t>
  </si>
  <si>
    <t>Licenciamento e Seguro obrigatório</t>
  </si>
  <si>
    <t>Fator de utilização</t>
  </si>
  <si>
    <t>2.1. Uniformes e EPIs para Coletor</t>
  </si>
  <si>
    <t>Higienização de uniformes e EPIs</t>
  </si>
  <si>
    <t>2.2. Uniformes e EPIs para demais categorias</t>
  </si>
  <si>
    <t>Custo Mensal com Uniformes e EPIs (R$/mês)</t>
  </si>
  <si>
    <t>Descrição do Item</t>
  </si>
  <si>
    <t>Orçamento Sintético</t>
  </si>
  <si>
    <t>Orientações para preenchimento:</t>
  </si>
  <si>
    <t>2. Preencher somente células em amarelo</t>
  </si>
  <si>
    <t>Rio Grande do Sul  - Coleta de Resíduos Não-Perigosos - CNAE 38114</t>
  </si>
  <si>
    <t>Idade do veículo (ano)</t>
  </si>
  <si>
    <t>Idade do veículo</t>
  </si>
  <si>
    <t>Valor do veículo proposto (V0)</t>
  </si>
  <si>
    <t>Valor do compactador proposto (V0)</t>
  </si>
  <si>
    <t>Taxa de juros anual nominal</t>
  </si>
  <si>
    <t>Piso da categoria</t>
  </si>
  <si>
    <t>Base de cálculo da Insalubridade</t>
  </si>
  <si>
    <t>C2</t>
  </si>
  <si>
    <t>B3</t>
  </si>
  <si>
    <t xml:space="preserve">1. Coleta de Resíduos Sólidos </t>
  </si>
  <si>
    <t>Custo Mensal com Monitoramento da Frota (R$/mês)</t>
  </si>
  <si>
    <t>Implantação dos equipamentos de monitoramento</t>
  </si>
  <si>
    <t>Manutenção dos equipamentos de monitoramento</t>
  </si>
  <si>
    <t>Custo Mensal com Veículos e Equipamentos (R$/mês)</t>
  </si>
  <si>
    <t>Custo Mensal com Ferramentas e Materiais de Consumo (R$/mês)</t>
  </si>
  <si>
    <t>CUSTO TOTAL MENSAL COM DESPESAS OPERACIONAIS (R$/mês)</t>
  </si>
  <si>
    <t>PREÇO MENSAL TOTAL (R$/mês)</t>
  </si>
  <si>
    <t>3. CAGED</t>
  </si>
  <si>
    <t>4. Composição do BDI - Benefícios e Despesas Indiretas</t>
  </si>
  <si>
    <t xml:space="preserve">2. Composição dos Encargos Sociais </t>
  </si>
  <si>
    <t>5. Depreciação Referencial TCE/RS (%)</t>
  </si>
  <si>
    <r>
      <t>J</t>
    </r>
    <r>
      <rPr>
        <vertAlign val="subscript"/>
        <sz val="12"/>
        <color indexed="8"/>
        <rFont val="Arial"/>
        <family val="2"/>
      </rPr>
      <t>m</t>
    </r>
    <r>
      <rPr>
        <sz val="12"/>
        <color indexed="8"/>
        <rFont val="Arial"/>
        <family val="2"/>
      </rPr>
      <t xml:space="preserve"> = remuneração de capital mensal</t>
    </r>
  </si>
  <si>
    <r>
      <t>V</t>
    </r>
    <r>
      <rPr>
        <vertAlign val="subscript"/>
        <sz val="12"/>
        <color indexed="8"/>
        <rFont val="Arial"/>
        <family val="2"/>
      </rPr>
      <t>0</t>
    </r>
    <r>
      <rPr>
        <sz val="12"/>
        <color indexed="8"/>
        <rFont val="Arial"/>
        <family val="2"/>
      </rPr>
      <t xml:space="preserve"> = valor inicial do bem</t>
    </r>
  </si>
  <si>
    <r>
      <t>V</t>
    </r>
    <r>
      <rPr>
        <vertAlign val="subscript"/>
        <sz val="12"/>
        <color indexed="8"/>
        <rFont val="Arial"/>
        <family val="2"/>
      </rPr>
      <t>r</t>
    </r>
    <r>
      <rPr>
        <sz val="12"/>
        <color indexed="8"/>
        <rFont val="Arial"/>
        <family val="2"/>
      </rPr>
      <t xml:space="preserve"> = valor residual do bem</t>
    </r>
  </si>
  <si>
    <t>6. Remuneração de Capital</t>
  </si>
  <si>
    <t>Custo unitário</t>
  </si>
  <si>
    <t>Custo de óleo do motor /1.000 km rodados</t>
  </si>
  <si>
    <t>Custo de óleo da transmissão /1.000 km</t>
  </si>
  <si>
    <t>Custo de óleo hidráulico / 1.000 km</t>
  </si>
  <si>
    <t>PREÇO TOTAL MENSAL COM A COLETA</t>
  </si>
  <si>
    <t>CUSTO MENSAL COM BDI (R$/mês)</t>
  </si>
  <si>
    <t>CÁLCULO DAS VERBAS INDENIZATÓRIAS DOS EMPREGADOS NO SETOR DE COLETA DE RSU</t>
  </si>
  <si>
    <t>1/3 de férias (dias)</t>
  </si>
  <si>
    <t>Férias (dias)</t>
  </si>
  <si>
    <t>13º Salário (dias)</t>
  </si>
  <si>
    <t>Referência estudo TCE</t>
  </si>
  <si>
    <t>1. Preencha previamente os dados de entrada na planilha 3.CAGED</t>
  </si>
  <si>
    <t>Rotatividade temporal (meses)</t>
  </si>
  <si>
    <t>1. Esta planilha é somente um modelo-base e deve ser ajustada conforme cada caso concreto.</t>
  </si>
  <si>
    <t>Fórmula de cálculo da remuneração de capital:</t>
  </si>
  <si>
    <t>Total por Motorista</t>
  </si>
  <si>
    <t>Durabilidade (meses)</t>
  </si>
  <si>
    <t>Custo com consumos/km rodado</t>
  </si>
  <si>
    <t>Consumo</t>
  </si>
  <si>
    <t>Total por veículo</t>
  </si>
  <si>
    <t>Total da frota</t>
  </si>
  <si>
    <t>1. Esta planilha é somente um modelo de cálculo expedito e deve ser ajustada conforme cada caso concreto.</t>
  </si>
  <si>
    <t>Unid</t>
  </si>
  <si>
    <t>hab</t>
  </si>
  <si>
    <t>ton</t>
  </si>
  <si>
    <t>Densidade RSU compactado</t>
  </si>
  <si>
    <t>Kg/m³</t>
  </si>
  <si>
    <t>m³</t>
  </si>
  <si>
    <t>Kg/hab.dia</t>
  </si>
  <si>
    <t>ton/dia</t>
  </si>
  <si>
    <t>População (H)</t>
  </si>
  <si>
    <t>Geração per capita (G)</t>
  </si>
  <si>
    <t>Geração total diária (Qd)</t>
  </si>
  <si>
    <t>Quantitativo diário de coleta (Qc)</t>
  </si>
  <si>
    <t>Número de dias de coleta por semana (Dc)</t>
  </si>
  <si>
    <t>Capacidade nominal de carga (Cc)</t>
  </si>
  <si>
    <t>Número de Cargas por dia (Nc)</t>
  </si>
  <si>
    <t>Número de veículos da Frota (F)</t>
  </si>
  <si>
    <t>Geração Mensal</t>
  </si>
  <si>
    <t>Tipo de Veículo (1 = toco, 2 = truck)</t>
  </si>
  <si>
    <t>Capacidade do Compactador</t>
  </si>
  <si>
    <t>Indicador</t>
  </si>
  <si>
    <t>Número total de percursos de coleta por veículo, por dia (Np)</t>
  </si>
  <si>
    <t>i</t>
  </si>
  <si>
    <t>3. Preencher somente células em amarelo</t>
  </si>
  <si>
    <t>Depreciação Média</t>
  </si>
  <si>
    <t>2. Dimensionar separadamente setores atendidos por veículos de capacidade de carga diferentes.</t>
  </si>
  <si>
    <t>Reincidência de FGTS sobre aviso prévio indenizado</t>
  </si>
  <si>
    <t>O orçamento deve ser realizado por responsável técnico habilitado e é de responsabilidade do seu autor.</t>
  </si>
  <si>
    <t>Piso da categoria (2)</t>
  </si>
  <si>
    <t>Salário mínimo nacional (1)</t>
  </si>
  <si>
    <t>O TCE/RS não se responsabiliza pelo uso incorreto desta planilha.</t>
  </si>
  <si>
    <t>% Demitidos s/ Justa Causa em relação ao Estoque Médio</t>
  </si>
  <si>
    <t>Taxa de Rotatividade</t>
  </si>
  <si>
    <t>Acordo</t>
  </si>
  <si>
    <t>Variação Emprego Absoluta de 01-01-2019 a 31-12-2019</t>
  </si>
  <si>
    <t>Estoque recuperado início do Período 01-01-2019</t>
  </si>
  <si>
    <t>Estoque recuperado final do Período 31-12-2019</t>
  </si>
  <si>
    <t>Preencha as células em amarelo</t>
  </si>
  <si>
    <t>Tendo em vista que o CAGED foi descontinuado em janeiro de 2020, esta planilha foi atualizada até 31/12/2019.</t>
  </si>
  <si>
    <t>Ajustado, de acordo com a nova Lei Federal nº 13.932/2019</t>
  </si>
  <si>
    <t>7. Dimensionamento da frota = CAÇAMBA</t>
  </si>
  <si>
    <t>Segunda</t>
  </si>
  <si>
    <t>Terça</t>
  </si>
  <si>
    <t>Quarta</t>
  </si>
  <si>
    <t>Quinta</t>
  </si>
  <si>
    <t>Sexta</t>
  </si>
  <si>
    <t>Sábado</t>
  </si>
  <si>
    <t>Domingo</t>
  </si>
  <si>
    <t>–</t>
  </si>
  <si>
    <t>Roteiro 1</t>
  </si>
  <si>
    <t>Distância Coleta (Km)</t>
  </si>
  <si>
    <t>Velocidade Coleta (Km/h)</t>
  </si>
  <si>
    <t>Tempo  Coleta (horas)</t>
  </si>
  <si>
    <t>Distância Viagem (Km)</t>
  </si>
  <si>
    <t>Velocidade Viagem (Km/h)</t>
  </si>
  <si>
    <t>Tempo Viagem (horas)</t>
  </si>
  <si>
    <t>Tempo descarga (h)</t>
  </si>
  <si>
    <t>Tempo
Total (horas)</t>
  </si>
  <si>
    <t>Totais / DIA</t>
  </si>
  <si>
    <t>Roteiro 2</t>
  </si>
  <si>
    <t>Tempo descarga</t>
  </si>
  <si>
    <t>Totais/Semana</t>
  </si>
  <si>
    <t>Distância Total Média percorrida no Mês:</t>
  </si>
  <si>
    <t>Destino final</t>
  </si>
  <si>
    <t>Distância Ida e Volta (Km)</t>
  </si>
  <si>
    <t>Nº de dias de coleta / semana - Orgânicos</t>
  </si>
  <si>
    <t>Nº de dias de coleta / semana - TOTAL</t>
  </si>
  <si>
    <t>VALOR</t>
  </si>
  <si>
    <t>Serviço para CÁLCULO do FU</t>
  </si>
  <si>
    <t>Dias por semana</t>
  </si>
  <si>
    <t>Horas 
por dia</t>
  </si>
  <si>
    <t>Horas
por mês</t>
  </si>
  <si>
    <t>Horas por semana</t>
  </si>
  <si>
    <t>(=) Fator Utilização (FU)</t>
  </si>
  <si>
    <t>Dias trabalh. Por mês</t>
  </si>
  <si>
    <t>Roteiro 1 (Urbano)</t>
  </si>
  <si>
    <t>Roteiro 01 (Urbano)</t>
  </si>
  <si>
    <t>Roteiro 02 (Rurais)</t>
  </si>
  <si>
    <t>– Distância Viagem, considerando a soma do deslocamento desde o aterro sanitário do CONIGEPU em Trindade do Sul até o início do roteiro de</t>
  </si>
  <si>
    <t>coleta para iniciar as coletas e da distância desde o ponto do fim do roteiro de coleta de volta ao aterro sanitário para descarga dos resíduos.</t>
  </si>
  <si>
    <t>– Tempo de descarga foi considerado de 20 minutos.</t>
  </si>
  <si>
    <t>Nº SEMANAS POR MÊS</t>
  </si>
  <si>
    <t>ITEM</t>
  </si>
  <si>
    <t>Dias / ano</t>
  </si>
  <si>
    <t>Dias / semana</t>
  </si>
  <si>
    <t>Semanas / ano</t>
  </si>
  <si>
    <t>Semanas / mês</t>
  </si>
  <si>
    <t>Viagem 01 (Segunda)</t>
  </si>
  <si>
    <t>– A distância de viagem se refere ao deslocamento de ida e volta ao aterro sanitário do Consórcio CONIGEPU em Trindade do Sul para início de</t>
  </si>
  <si>
    <t>cada roteiro de coleta e retorno para descarga dos resíduos.</t>
  </si>
  <si>
    <t>Calculo deslocamento até o inicio das coletas e para o transporte ao destino final</t>
  </si>
  <si>
    <t>Conigepu =&gt; Ponto de início do roteiro de coleta</t>
  </si>
  <si>
    <t>Ponto de fim do roteiro de coleta =&gt; Conigepu</t>
  </si>
  <si>
    <t>Distância total de deslocamento por dia de coleta</t>
  </si>
  <si>
    <t>– Como deslocamento considera-se o trajeto desde o aterro sanitário do Consórcio Conigepu até o ponto de início das coletas em Rondinha/RS</t>
  </si>
  <si>
    <t>– Assim como o deslocamento relativo ao trajeto do transporte dos resíduos desde o ponto de fim do roteiro de coleta até o aterro do Conigepu</t>
  </si>
  <si>
    <t>Nº de dias de coleta por semana</t>
  </si>
  <si>
    <t>Resumo dos dias de coleta e tipo de coleta seletiva por dia</t>
  </si>
  <si>
    <t>CAMINHÃO TOCO</t>
  </si>
  <si>
    <t>Modelo</t>
  </si>
  <si>
    <t>Marca</t>
  </si>
  <si>
    <t>Ano Modelo</t>
  </si>
  <si>
    <t>Preço Médio</t>
  </si>
  <si>
    <t>TECTOR 17-280 4x2 (diesel)(E5)</t>
  </si>
  <si>
    <t>Iveco</t>
  </si>
  <si>
    <t>Zero Km</t>
  </si>
  <si>
    <t>17-280 E Constellation 2p (diesel)(E5)</t>
  </si>
  <si>
    <t>Volkswagen</t>
  </si>
  <si>
    <t>VM 270 4x2 2p (diesel) (E5)</t>
  </si>
  <si>
    <t>Volvo</t>
  </si>
  <si>
    <t>Atego 1719 4x2 2p (diesel)(E6)</t>
  </si>
  <si>
    <t>Mercedes Benz</t>
  </si>
  <si>
    <t>Valor Médio</t>
  </si>
  <si>
    <t>CAMINHÃO TRUCK</t>
  </si>
  <si>
    <t>TECTOR 24-280 6x2 (diesel)(E5)</t>
  </si>
  <si>
    <t>Atego 2430 6x2 2p (diesel)(E5)</t>
  </si>
  <si>
    <t>VM 330 6x2 2p (diesel)(E5)</t>
  </si>
  <si>
    <t>24-280 E Constel. 6x2 2p (diesel)(E5)</t>
  </si>
  <si>
    <t>Cálculo da distância total percorrida e cálculo do tempo de coleta e tempo de viagem/deslocamento</t>
  </si>
  <si>
    <t xml:space="preserve"> Tabela FIPE - Mês Referência 05/2023</t>
  </si>
  <si>
    <t>Tabela de Cálculo do Custo de Aquisição Médio de Caminhões</t>
  </si>
  <si>
    <t>1.1. Coletor de Resíduos Sólidos</t>
  </si>
  <si>
    <t>1.2. Motorista de Caminhão</t>
  </si>
  <si>
    <t>1.3. Vale Transporte</t>
  </si>
  <si>
    <t>1.4. Vale-refeição (diário)</t>
  </si>
  <si>
    <t>1.5. Auxílio Alimentação (mensal)</t>
  </si>
  <si>
    <t>Cálculo do Fator de Utilização (FU) da Mão de Obra e Frota</t>
  </si>
  <si>
    <t>Total FU da Mão de Obra da Coleta de Resíduos</t>
  </si>
  <si>
    <t>Fator de utilização da mão de obra (FU)</t>
  </si>
  <si>
    <t>Chapéu com proteção de pescoço</t>
  </si>
  <si>
    <t>Custo do jogo de pneus - Dimensões 275/80 R22.5</t>
  </si>
  <si>
    <r>
      <t xml:space="preserve">Custo jg. compl. + </t>
    </r>
    <r>
      <rPr>
        <sz val="10"/>
        <color indexed="10"/>
        <rFont val="Arial"/>
        <family val="2"/>
      </rPr>
      <t>01</t>
    </r>
    <r>
      <rPr>
        <sz val="10"/>
        <rFont val="Arial"/>
        <family val="2"/>
      </rPr>
      <t xml:space="preserve"> recap./ km rodado</t>
    </r>
  </si>
  <si>
    <t>DMT Organicos / mês:</t>
  </si>
  <si>
    <t>DMT Mensal</t>
  </si>
  <si>
    <t>Quilometragem mensal com deslocamento/transporte</t>
  </si>
  <si>
    <t>Quilometragem mensal com roteiros de coleta</t>
  </si>
  <si>
    <t>– Distância do roteiro de 25,7 km conforme roteiro de coleta definido no projeto básico.</t>
  </si>
  <si>
    <t>Custo óleo diesel / km rodado (Desloc./Transporte)</t>
  </si>
  <si>
    <t>Custo mensal c/óleo diesel (desloc./transporte)</t>
  </si>
  <si>
    <t>Custo óleo diesel / km rodado (roteiro da coleta)</t>
  </si>
  <si>
    <t>Custo mensal c/óleo diesel (roteiro da coleta)</t>
  </si>
  <si>
    <t>2. As células azuis deverão ter seus valores preenchidos em outra planilha do arquivo.</t>
  </si>
  <si>
    <t>1. Preencher somente as células em amarelo</t>
  </si>
  <si>
    <t>3. As fontes dos dados e informações utilizados nesta planilha poderão ser encontradas no Projeto Básico para Contratação da Coleta de Resíduos Sólidos do qual faz parte a presente planilha, que inclui informações a respeito do cálculo dos fatores de utilização da mão de obra e frota, da quilometragem mensal de roteiros de coleta e deslocamentos, do custo médio de aquisição dos veículos da frota e dos valores médios unitários adotados para insumos, materiais, equipamentos, entre outros dados e informações. Assim sendo, para o bom entendimento desta planilha o Projeto Básico deverá ser consultado.</t>
  </si>
  <si>
    <t>Orgânicos</t>
  </si>
  <si>
    <t>Viagem 02 (Quinta)</t>
  </si>
  <si>
    <t>Secos</t>
  </si>
  <si>
    <t>Nº de dias de coleta / semana - Secos</t>
  </si>
  <si>
    <t>DMT secos / mês:</t>
  </si>
  <si>
    <t>Frota:</t>
  </si>
  <si>
    <t>Total FU da Frota da Coleta de RSD</t>
  </si>
  <si>
    <t>Roteiro 1 (Urbano) - Coleta de RSD</t>
  </si>
  <si>
    <t>Roteiro 2 (Rural) - Coleta de RSD</t>
  </si>
  <si>
    <t>Fator de utilização da frota (FU)</t>
  </si>
  <si>
    <t>3.1. Caminhão Toco Caçamba 32 m³</t>
  </si>
  <si>
    <t>Custo de aquisição do caçamba</t>
  </si>
  <si>
    <t>Vida útil do caçamba</t>
  </si>
  <si>
    <t>Idade do caçamba</t>
  </si>
  <si>
    <t>Depreciação do caçamba</t>
  </si>
  <si>
    <t>Depreciação mensal do caçamba</t>
  </si>
  <si>
    <t>Distância Média Total Mensal</t>
  </si>
  <si>
    <t>DMT por dia de coleta</t>
  </si>
  <si>
    <t>– As viagens do interior seriam feitas em dois roteiros distintos conforme distância de coletas da tabela acima, sendo 1 vez ao mês cada viagem</t>
  </si>
  <si>
    <t>– FU calculado com base em uma carga horária de 44 horas por semana.</t>
  </si>
  <si>
    <t>– FU da mão de obra da coleta de resíduos é a mesma da utilização da frota.</t>
  </si>
  <si>
    <t>Resíduos secos – apenas 2ª e 3ª quarta feira/mês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</si>
</sst>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.000_);_(* \(#,##0.000\);_(* &quot;-&quot;??_);_(@_)"/>
    <numFmt numFmtId="167" formatCode="0.0000"/>
    <numFmt numFmtId="168" formatCode="_-* #,##0.000_-;\-* #,##0.000_-;_-* &quot;-&quot;??_-;_-@_-"/>
    <numFmt numFmtId="169" formatCode="_-* #,##0.00_-;\-* #,##0.00_-;_-* &quot;-&quot;?_-;_-@_-"/>
    <numFmt numFmtId="170" formatCode="_-* #,##0_-;\-* #,##0_-;_-* &quot;-&quot;?_-;_-@_-"/>
    <numFmt numFmtId="171" formatCode="0.0"/>
    <numFmt numFmtId="172" formatCode="_(* #,##0.0000_);_(* \(#,##0.0000\);_(* &quot;-&quot;??_);_(@_)"/>
    <numFmt numFmtId="173" formatCode="0.0%"/>
  </numFmts>
  <fonts count="3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color indexed="10"/>
      <name val="Arial"/>
      <family val="2"/>
    </font>
    <font>
      <i/>
      <sz val="10"/>
      <name val="Arial"/>
      <family val="2"/>
    </font>
    <font>
      <b/>
      <sz val="9"/>
      <name val="Arial"/>
      <family val="2"/>
    </font>
    <font>
      <b/>
      <u/>
      <sz val="9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sz val="12"/>
      <color theme="1"/>
      <name val="Arial"/>
      <family val="2"/>
    </font>
    <font>
      <vertAlign val="subscript"/>
      <sz val="12"/>
      <color indexed="8"/>
      <name val="Arial"/>
      <family val="2"/>
    </font>
    <font>
      <sz val="12"/>
      <color indexed="8"/>
      <name val="Arial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  <font>
      <sz val="13"/>
      <color theme="1"/>
      <name val="Arial"/>
      <family val="2"/>
    </font>
    <font>
      <sz val="10"/>
      <color theme="1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0"/>
      <color rgb="FFFF0000"/>
      <name val="Arial"/>
      <family val="2"/>
    </font>
    <font>
      <sz val="12"/>
      <name val="Arial"/>
      <family val="2"/>
    </font>
    <font>
      <b/>
      <sz val="12"/>
      <color rgb="FFFF0000"/>
      <name val="Arial"/>
      <family val="2"/>
    </font>
    <font>
      <b/>
      <sz val="12"/>
      <color theme="1"/>
      <name val="Arial"/>
      <family val="2"/>
    </font>
    <font>
      <i/>
      <sz val="12"/>
      <name val="Arial"/>
      <family val="2"/>
    </font>
    <font>
      <i/>
      <sz val="12"/>
      <color theme="1"/>
      <name val="Arial"/>
      <family val="2"/>
    </font>
    <font>
      <sz val="10"/>
      <name val="Arial"/>
      <family val="2"/>
    </font>
    <font>
      <u/>
      <sz val="12"/>
      <color theme="1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lightUp">
        <bgColor theme="0" tint="-0.34998626667073579"/>
      </patternFill>
    </fill>
    <fill>
      <patternFill patternType="solid">
        <fgColor theme="1" tint="0.499984740745262"/>
        <bgColor indexed="64"/>
      </patternFill>
    </fill>
    <fill>
      <patternFill patternType="lightUp">
        <bgColor theme="0" tint="-0.14999847407452621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2" fillId="0" borderId="0"/>
    <xf numFmtId="44" fontId="2" fillId="0" borderId="0" applyFont="0" applyFill="0" applyBorder="0" applyAlignment="0" applyProtection="0"/>
    <xf numFmtId="44" fontId="37" fillId="0" borderId="0" applyFont="0" applyFill="0" applyBorder="0" applyAlignment="0" applyProtection="0"/>
  </cellStyleXfs>
  <cellXfs count="509">
    <xf numFmtId="0" fontId="0" fillId="0" borderId="0" xfId="0"/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164" fontId="0" fillId="0" borderId="0" xfId="3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64" fontId="7" fillId="0" borderId="0" xfId="3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164" fontId="7" fillId="0" borderId="2" xfId="3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164" fontId="7" fillId="0" borderId="1" xfId="3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64" fontId="7" fillId="0" borderId="0" xfId="3" applyFont="1" applyAlignment="1">
      <alignment horizontal="center" vertical="center"/>
    </xf>
    <xf numFmtId="164" fontId="4" fillId="2" borderId="4" xfId="3" applyFont="1" applyFill="1" applyBorder="1" applyAlignment="1">
      <alignment horizontal="center" vertical="center"/>
    </xf>
    <xf numFmtId="164" fontId="4" fillId="2" borderId="4" xfId="3" applyFont="1" applyFill="1" applyBorder="1" applyAlignment="1">
      <alignment vertical="center"/>
    </xf>
    <xf numFmtId="164" fontId="4" fillId="0" borderId="0" xfId="3" applyFont="1" applyFill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164" fontId="4" fillId="0" borderId="6" xfId="3" applyFont="1" applyBorder="1" applyAlignment="1">
      <alignment vertical="center"/>
    </xf>
    <xf numFmtId="164" fontId="4" fillId="0" borderId="7" xfId="3" applyFont="1" applyBorder="1" applyAlignment="1">
      <alignment vertical="center"/>
    </xf>
    <xf numFmtId="0" fontId="7" fillId="0" borderId="6" xfId="0" applyFont="1" applyBorder="1" applyAlignment="1">
      <alignment vertical="center"/>
    </xf>
    <xf numFmtId="164" fontId="7" fillId="0" borderId="6" xfId="3" applyFont="1" applyBorder="1" applyAlignment="1">
      <alignment vertical="center"/>
    </xf>
    <xf numFmtId="164" fontId="7" fillId="0" borderId="7" xfId="3" applyFont="1" applyBorder="1" applyAlignment="1">
      <alignment vertical="center"/>
    </xf>
    <xf numFmtId="164" fontId="4" fillId="0" borderId="0" xfId="3" applyFont="1" applyBorder="1" applyAlignment="1">
      <alignment horizontal="center" vertical="center"/>
    </xf>
    <xf numFmtId="3" fontId="7" fillId="0" borderId="0" xfId="0" applyNumberFormat="1" applyFont="1" applyAlignment="1">
      <alignment vertical="center"/>
    </xf>
    <xf numFmtId="164" fontId="4" fillId="0" borderId="0" xfId="3" applyFont="1" applyFill="1" applyBorder="1" applyAlignment="1">
      <alignment horizontal="center" vertical="center"/>
    </xf>
    <xf numFmtId="164" fontId="4" fillId="0" borderId="0" xfId="3" applyFont="1" applyBorder="1" applyAlignment="1">
      <alignment vertical="center"/>
    </xf>
    <xf numFmtId="164" fontId="6" fillId="0" borderId="0" xfId="3" applyFont="1" applyAlignment="1">
      <alignment vertical="center"/>
    </xf>
    <xf numFmtId="165" fontId="7" fillId="0" borderId="1" xfId="3" applyNumberFormat="1" applyFont="1" applyBorder="1" applyAlignment="1">
      <alignment vertical="center"/>
    </xf>
    <xf numFmtId="164" fontId="7" fillId="0" borderId="0" xfId="3" applyFont="1"/>
    <xf numFmtId="164" fontId="5" fillId="0" borderId="0" xfId="3" applyFont="1" applyAlignment="1">
      <alignment vertical="center"/>
    </xf>
    <xf numFmtId="164" fontId="0" fillId="0" borderId="11" xfId="3" applyFont="1" applyBorder="1" applyAlignment="1">
      <alignment vertical="center"/>
    </xf>
    <xf numFmtId="164" fontId="4" fillId="0" borderId="12" xfId="3" applyFont="1" applyBorder="1" applyAlignment="1">
      <alignment horizontal="center" vertical="center"/>
    </xf>
    <xf numFmtId="164" fontId="4" fillId="0" borderId="5" xfId="3" applyFont="1" applyBorder="1" applyAlignment="1">
      <alignment horizontal="left" vertical="center"/>
    </xf>
    <xf numFmtId="4" fontId="4" fillId="0" borderId="6" xfId="0" applyNumberFormat="1" applyFont="1" applyBorder="1" applyAlignment="1">
      <alignment horizontal="centerContinuous" vertical="center"/>
    </xf>
    <xf numFmtId="164" fontId="4" fillId="0" borderId="0" xfId="3" applyFont="1" applyAlignment="1">
      <alignment vertical="center"/>
    </xf>
    <xf numFmtId="164" fontId="0" fillId="0" borderId="9" xfId="0" applyNumberFormat="1" applyBorder="1" applyAlignment="1">
      <alignment vertical="center"/>
    </xf>
    <xf numFmtId="4" fontId="0" fillId="0" borderId="9" xfId="0" applyNumberFormat="1" applyBorder="1" applyAlignment="1">
      <alignment horizontal="centerContinuous" vertical="center"/>
    </xf>
    <xf numFmtId="164" fontId="0" fillId="0" borderId="9" xfId="3" applyFont="1" applyBorder="1" applyAlignment="1">
      <alignment vertical="center"/>
    </xf>
    <xf numFmtId="164" fontId="7" fillId="0" borderId="1" xfId="3" applyFont="1" applyBorder="1" applyAlignment="1">
      <alignment vertical="center"/>
    </xf>
    <xf numFmtId="0" fontId="12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/>
    </xf>
    <xf numFmtId="164" fontId="7" fillId="0" borderId="0" xfId="3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164" fontId="5" fillId="0" borderId="0" xfId="3" applyFont="1" applyBorder="1" applyAlignment="1">
      <alignment vertical="center"/>
    </xf>
    <xf numFmtId="164" fontId="7" fillId="0" borderId="0" xfId="3" applyFont="1" applyBorder="1" applyAlignment="1">
      <alignment vertical="center"/>
    </xf>
    <xf numFmtId="0" fontId="14" fillId="2" borderId="16" xfId="0" applyFont="1" applyFill="1" applyBorder="1" applyAlignment="1">
      <alignment horizontal="center" vertical="center"/>
    </xf>
    <xf numFmtId="0" fontId="14" fillId="2" borderId="17" xfId="0" applyFont="1" applyFill="1" applyBorder="1" applyAlignment="1">
      <alignment horizontal="center" vertical="center"/>
    </xf>
    <xf numFmtId="164" fontId="14" fillId="2" borderId="17" xfId="3" applyFont="1" applyFill="1" applyBorder="1" applyAlignment="1">
      <alignment horizontal="center" vertical="center"/>
    </xf>
    <xf numFmtId="164" fontId="14" fillId="2" borderId="18" xfId="3" applyFont="1" applyFill="1" applyBorder="1" applyAlignment="1">
      <alignment horizontal="center" vertical="center"/>
    </xf>
    <xf numFmtId="164" fontId="4" fillId="0" borderId="19" xfId="3" applyFont="1" applyBorder="1" applyAlignment="1">
      <alignment horizontal="center" vertical="center"/>
    </xf>
    <xf numFmtId="164" fontId="2" fillId="0" borderId="14" xfId="3" applyFont="1" applyBorder="1" applyAlignment="1">
      <alignment horizontal="left" vertical="center"/>
    </xf>
    <xf numFmtId="164" fontId="7" fillId="0" borderId="9" xfId="3" applyFont="1" applyBorder="1" applyAlignment="1">
      <alignment vertical="center"/>
    </xf>
    <xf numFmtId="165" fontId="7" fillId="0" borderId="0" xfId="3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" fontId="7" fillId="0" borderId="20" xfId="3" applyNumberFormat="1" applyFont="1" applyBorder="1" applyAlignment="1">
      <alignment horizontal="center" vertical="center"/>
    </xf>
    <xf numFmtId="164" fontId="4" fillId="0" borderId="28" xfId="3" applyFont="1" applyBorder="1" applyAlignment="1">
      <alignment vertical="center"/>
    </xf>
    <xf numFmtId="4" fontId="4" fillId="0" borderId="29" xfId="0" applyNumberFormat="1" applyFont="1" applyBorder="1" applyAlignment="1">
      <alignment vertical="center"/>
    </xf>
    <xf numFmtId="164" fontId="7" fillId="0" borderId="11" xfId="3" applyFont="1" applyBorder="1" applyAlignment="1">
      <alignment vertical="center"/>
    </xf>
    <xf numFmtId="0" fontId="0" fillId="0" borderId="11" xfId="0" applyBorder="1" applyAlignment="1">
      <alignment vertical="center"/>
    </xf>
    <xf numFmtId="1" fontId="7" fillId="0" borderId="12" xfId="3" applyNumberFormat="1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29" xfId="0" applyBorder="1" applyAlignment="1">
      <alignment vertical="center"/>
    </xf>
    <xf numFmtId="1" fontId="4" fillId="0" borderId="31" xfId="3" applyNumberFormat="1" applyFont="1" applyBorder="1" applyAlignment="1">
      <alignment horizontal="center" vertical="center"/>
    </xf>
    <xf numFmtId="164" fontId="7" fillId="0" borderId="1" xfId="3" applyFont="1" applyFill="1" applyBorder="1" applyAlignment="1">
      <alignment horizontal="center" vertical="center"/>
    </xf>
    <xf numFmtId="164" fontId="12" fillId="0" borderId="0" xfId="3" applyFont="1" applyAlignment="1">
      <alignment vertical="center"/>
    </xf>
    <xf numFmtId="43" fontId="7" fillId="0" borderId="0" xfId="0" applyNumberFormat="1" applyFont="1" applyAlignment="1">
      <alignment vertical="center"/>
    </xf>
    <xf numFmtId="0" fontId="7" fillId="3" borderId="1" xfId="0" applyFont="1" applyFill="1" applyBorder="1" applyAlignment="1">
      <alignment horizontal="center" vertical="center"/>
    </xf>
    <xf numFmtId="164" fontId="7" fillId="3" borderId="2" xfId="3" applyFont="1" applyFill="1" applyBorder="1" applyAlignment="1">
      <alignment horizontal="center" vertical="center"/>
    </xf>
    <xf numFmtId="164" fontId="7" fillId="3" borderId="1" xfId="3" applyFont="1" applyFill="1" applyBorder="1" applyAlignment="1">
      <alignment horizontal="center" vertical="center"/>
    </xf>
    <xf numFmtId="1" fontId="7" fillId="3" borderId="1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vertical="center"/>
    </xf>
    <xf numFmtId="164" fontId="7" fillId="3" borderId="0" xfId="3" applyFont="1" applyFill="1" applyAlignment="1">
      <alignment vertical="center"/>
    </xf>
    <xf numFmtId="0" fontId="7" fillId="0" borderId="0" xfId="0" applyFont="1" applyAlignment="1">
      <alignment horizontal="right" vertical="center"/>
    </xf>
    <xf numFmtId="165" fontId="7" fillId="0" borderId="1" xfId="3" applyNumberFormat="1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4" fontId="7" fillId="3" borderId="2" xfId="0" applyNumberFormat="1" applyFont="1" applyFill="1" applyBorder="1" applyAlignment="1">
      <alignment horizontal="center" vertical="center"/>
    </xf>
    <xf numFmtId="166" fontId="7" fillId="3" borderId="2" xfId="3" applyNumberFormat="1" applyFont="1" applyFill="1" applyBorder="1" applyAlignment="1">
      <alignment horizontal="center" vertical="center"/>
    </xf>
    <xf numFmtId="3" fontId="7" fillId="3" borderId="1" xfId="0" applyNumberFormat="1" applyFont="1" applyFill="1" applyBorder="1" applyAlignment="1">
      <alignment horizontal="center" vertical="center"/>
    </xf>
    <xf numFmtId="4" fontId="7" fillId="3" borderId="1" xfId="0" applyNumberFormat="1" applyFont="1" applyFill="1" applyBorder="1" applyAlignment="1">
      <alignment horizontal="center" vertical="center"/>
    </xf>
    <xf numFmtId="165" fontId="7" fillId="0" borderId="1" xfId="3" applyNumberFormat="1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64" fontId="4" fillId="0" borderId="1" xfId="3" applyFont="1" applyBorder="1" applyAlignment="1">
      <alignment horizontal="center" vertical="center"/>
    </xf>
    <xf numFmtId="164" fontId="7" fillId="0" borderId="2" xfId="3" applyFont="1" applyFill="1" applyBorder="1" applyAlignment="1">
      <alignment horizontal="center" vertical="center"/>
    </xf>
    <xf numFmtId="0" fontId="9" fillId="0" borderId="0" xfId="1" applyAlignment="1" applyProtection="1">
      <alignment vertical="center"/>
    </xf>
    <xf numFmtId="0" fontId="4" fillId="0" borderId="0" xfId="0" applyFont="1"/>
    <xf numFmtId="164" fontId="7" fillId="0" borderId="0" xfId="3" applyFont="1" applyFill="1" applyAlignment="1">
      <alignment vertical="center"/>
    </xf>
    <xf numFmtId="164" fontId="4" fillId="0" borderId="1" xfId="3" applyFont="1" applyFill="1" applyBorder="1" applyAlignment="1">
      <alignment horizontal="center" vertical="center"/>
    </xf>
    <xf numFmtId="164" fontId="4" fillId="0" borderId="35" xfId="3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164" fontId="4" fillId="0" borderId="0" xfId="3" applyFont="1" applyAlignment="1">
      <alignment horizontal="center" vertical="center"/>
    </xf>
    <xf numFmtId="164" fontId="4" fillId="0" borderId="3" xfId="3" applyFont="1" applyBorder="1" applyAlignment="1">
      <alignment horizontal="center" vertical="center"/>
    </xf>
    <xf numFmtId="0" fontId="0" fillId="0" borderId="0" xfId="0" applyAlignment="1">
      <alignment horizontal="center"/>
    </xf>
    <xf numFmtId="164" fontId="7" fillId="0" borderId="0" xfId="3" applyFont="1" applyAlignment="1">
      <alignment horizontal="right" vertical="center"/>
    </xf>
    <xf numFmtId="164" fontId="4" fillId="2" borderId="7" xfId="3" applyFont="1" applyFill="1" applyBorder="1" applyAlignment="1">
      <alignment horizontal="center" vertical="center"/>
    </xf>
    <xf numFmtId="164" fontId="4" fillId="0" borderId="14" xfId="3" applyFont="1" applyBorder="1" applyAlignment="1">
      <alignment vertical="center"/>
    </xf>
    <xf numFmtId="164" fontId="4" fillId="0" borderId="9" xfId="0" applyNumberFormat="1" applyFont="1" applyBorder="1" applyAlignment="1">
      <alignment vertical="center"/>
    </xf>
    <xf numFmtId="164" fontId="4" fillId="0" borderId="9" xfId="3" applyFont="1" applyBorder="1" applyAlignment="1">
      <alignment vertical="center"/>
    </xf>
    <xf numFmtId="164" fontId="4" fillId="0" borderId="38" xfId="3" applyFont="1" applyBorder="1" applyAlignment="1">
      <alignment vertical="center"/>
    </xf>
    <xf numFmtId="4" fontId="4" fillId="0" borderId="0" xfId="0" applyNumberFormat="1" applyFont="1" applyAlignment="1">
      <alignment vertical="center"/>
    </xf>
    <xf numFmtId="164" fontId="7" fillId="0" borderId="39" xfId="3" applyFont="1" applyBorder="1" applyAlignment="1">
      <alignment vertical="center"/>
    </xf>
    <xf numFmtId="164" fontId="7" fillId="0" borderId="41" xfId="3" applyFont="1" applyBorder="1" applyAlignment="1">
      <alignment vertical="center"/>
    </xf>
    <xf numFmtId="0" fontId="7" fillId="0" borderId="41" xfId="0" applyFont="1" applyBorder="1" applyAlignment="1">
      <alignment vertical="center"/>
    </xf>
    <xf numFmtId="1" fontId="7" fillId="0" borderId="37" xfId="3" applyNumberFormat="1" applyFont="1" applyBorder="1" applyAlignment="1">
      <alignment horizontal="center" vertical="center"/>
    </xf>
    <xf numFmtId="164" fontId="4" fillId="0" borderId="14" xfId="3" applyFont="1" applyBorder="1" applyAlignment="1">
      <alignment horizontal="left" vertical="center"/>
    </xf>
    <xf numFmtId="4" fontId="4" fillId="0" borderId="9" xfId="0" applyNumberFormat="1" applyFont="1" applyBorder="1" applyAlignment="1">
      <alignment horizontal="centerContinuous" vertical="center"/>
    </xf>
    <xf numFmtId="4" fontId="7" fillId="0" borderId="0" xfId="0" applyNumberFormat="1" applyFont="1" applyAlignment="1">
      <alignment vertical="center"/>
    </xf>
    <xf numFmtId="164" fontId="7" fillId="6" borderId="1" xfId="3" applyFont="1" applyFill="1" applyBorder="1" applyAlignment="1">
      <alignment horizontal="center" vertical="center"/>
    </xf>
    <xf numFmtId="164" fontId="7" fillId="6" borderId="1" xfId="3" applyFont="1" applyFill="1" applyBorder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/>
    </xf>
    <xf numFmtId="164" fontId="7" fillId="0" borderId="1" xfId="0" applyNumberFormat="1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0" fillId="0" borderId="38" xfId="0" applyBorder="1" applyAlignment="1">
      <alignment vertical="center"/>
    </xf>
    <xf numFmtId="164" fontId="0" fillId="0" borderId="0" xfId="3" applyFont="1" applyFill="1" applyBorder="1" applyAlignment="1">
      <alignment vertical="center"/>
    </xf>
    <xf numFmtId="164" fontId="0" fillId="0" borderId="39" xfId="3" applyFont="1" applyFill="1" applyBorder="1" applyAlignment="1">
      <alignment vertical="center"/>
    </xf>
    <xf numFmtId="0" fontId="19" fillId="0" borderId="14" xfId="0" applyFont="1" applyBorder="1"/>
    <xf numFmtId="0" fontId="19" fillId="0" borderId="47" xfId="0" applyFont="1" applyBorder="1"/>
    <xf numFmtId="0" fontId="19" fillId="0" borderId="23" xfId="0" applyFont="1" applyBorder="1"/>
    <xf numFmtId="0" fontId="19" fillId="0" borderId="28" xfId="0" applyFont="1" applyBorder="1"/>
    <xf numFmtId="2" fontId="20" fillId="7" borderId="1" xfId="0" applyNumberFormat="1" applyFont="1" applyFill="1" applyBorder="1" applyAlignment="1">
      <alignment horizontal="right" vertical="center"/>
    </xf>
    <xf numFmtId="0" fontId="20" fillId="0" borderId="23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2" fontId="20" fillId="7" borderId="36" xfId="0" applyNumberFormat="1" applyFont="1" applyFill="1" applyBorder="1" applyAlignment="1">
      <alignment horizontal="right" vertical="center"/>
    </xf>
    <xf numFmtId="0" fontId="20" fillId="0" borderId="23" xfId="0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4" fillId="0" borderId="1" xfId="0" applyFont="1" applyBorder="1" applyAlignment="1">
      <alignment horizontal="left" vertical="center"/>
    </xf>
    <xf numFmtId="0" fontId="20" fillId="5" borderId="23" xfId="0" applyFont="1" applyFill="1" applyBorder="1" applyAlignment="1">
      <alignment horizontal="left" vertical="center"/>
    </xf>
    <xf numFmtId="0" fontId="24" fillId="5" borderId="1" xfId="0" applyFont="1" applyFill="1" applyBorder="1" applyAlignment="1">
      <alignment horizontal="left" vertical="center"/>
    </xf>
    <xf numFmtId="0" fontId="25" fillId="0" borderId="1" xfId="0" applyFont="1" applyBorder="1" applyAlignment="1">
      <alignment horizontal="left" vertical="center"/>
    </xf>
    <xf numFmtId="0" fontId="26" fillId="0" borderId="0" xfId="0" applyFont="1" applyAlignment="1">
      <alignment horizontal="left" vertical="center"/>
    </xf>
    <xf numFmtId="10" fontId="7" fillId="0" borderId="0" xfId="0" applyNumberFormat="1" applyFont="1"/>
    <xf numFmtId="9" fontId="20" fillId="0" borderId="0" xfId="2" applyFont="1" applyBorder="1" applyAlignment="1">
      <alignment horizontal="right" vertical="center"/>
    </xf>
    <xf numFmtId="0" fontId="20" fillId="0" borderId="1" xfId="0" applyFont="1" applyBorder="1" applyAlignment="1">
      <alignment horizontal="left" vertical="center" wrapText="1"/>
    </xf>
    <xf numFmtId="0" fontId="20" fillId="9" borderId="24" xfId="0" applyFont="1" applyFill="1" applyBorder="1" applyAlignment="1">
      <alignment horizontal="left" vertical="center"/>
    </xf>
    <xf numFmtId="0" fontId="24" fillId="9" borderId="36" xfId="0" applyFont="1" applyFill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6" fillId="4" borderId="0" xfId="0" applyFont="1" applyFill="1" applyAlignment="1">
      <alignment horizontal="left" vertical="center"/>
    </xf>
    <xf numFmtId="0" fontId="20" fillId="4" borderId="0" xfId="0" applyFont="1" applyFill="1" applyAlignment="1">
      <alignment horizontal="left" vertical="center"/>
    </xf>
    <xf numFmtId="10" fontId="20" fillId="0" borderId="0" xfId="0" applyNumberFormat="1" applyFont="1" applyAlignment="1">
      <alignment horizontal="right" vertical="center"/>
    </xf>
    <xf numFmtId="0" fontId="27" fillId="0" borderId="0" xfId="0" applyFont="1" applyAlignment="1">
      <alignment horizontal="justify" vertical="center"/>
    </xf>
    <xf numFmtId="0" fontId="9" fillId="0" borderId="0" xfId="1" applyBorder="1" applyAlignment="1" applyProtection="1">
      <alignment horizontal="left" vertical="center"/>
    </xf>
    <xf numFmtId="0" fontId="28" fillId="0" borderId="0" xfId="0" applyFont="1"/>
    <xf numFmtId="0" fontId="20" fillId="0" borderId="0" xfId="0" applyFont="1" applyAlignment="1">
      <alignment horizontal="right" vertical="center"/>
    </xf>
    <xf numFmtId="0" fontId="9" fillId="0" borderId="0" xfId="1" applyBorder="1" applyAlignment="1" applyProtection="1">
      <alignment vertical="center"/>
    </xf>
    <xf numFmtId="0" fontId="6" fillId="0" borderId="23" xfId="0" applyFont="1" applyBorder="1"/>
    <xf numFmtId="0" fontId="6" fillId="3" borderId="20" xfId="0" applyFont="1" applyFill="1" applyBorder="1"/>
    <xf numFmtId="0" fontId="6" fillId="0" borderId="47" xfId="0" applyFont="1" applyBorder="1"/>
    <xf numFmtId="0" fontId="6" fillId="0" borderId="49" xfId="0" applyFont="1" applyBorder="1"/>
    <xf numFmtId="0" fontId="6" fillId="0" borderId="38" xfId="0" applyFont="1" applyBorder="1"/>
    <xf numFmtId="0" fontId="8" fillId="0" borderId="38" xfId="0" applyFont="1" applyBorder="1" applyAlignment="1">
      <alignment horizontal="left" vertical="center"/>
    </xf>
    <xf numFmtId="9" fontId="6" fillId="0" borderId="23" xfId="2" applyFont="1" applyBorder="1"/>
    <xf numFmtId="9" fontId="6" fillId="0" borderId="1" xfId="2" applyFont="1" applyBorder="1" applyAlignment="1">
      <alignment horizontal="center"/>
    </xf>
    <xf numFmtId="9" fontId="6" fillId="0" borderId="20" xfId="2" applyFont="1" applyBorder="1"/>
    <xf numFmtId="0" fontId="6" fillId="0" borderId="21" xfId="0" applyFont="1" applyBorder="1" applyAlignment="1">
      <alignment horizontal="left" vertical="center"/>
    </xf>
    <xf numFmtId="0" fontId="6" fillId="0" borderId="22" xfId="0" applyFont="1" applyBorder="1" applyAlignment="1">
      <alignment horizontal="center" vertical="center"/>
    </xf>
    <xf numFmtId="10" fontId="6" fillId="3" borderId="12" xfId="0" applyNumberFormat="1" applyFont="1" applyFill="1" applyBorder="1" applyAlignment="1">
      <alignment horizontal="center" vertical="center"/>
    </xf>
    <xf numFmtId="10" fontId="6" fillId="0" borderId="20" xfId="2" applyNumberFormat="1" applyFont="1" applyBorder="1"/>
    <xf numFmtId="0" fontId="6" fillId="0" borderId="23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10" fontId="6" fillId="3" borderId="20" xfId="0" applyNumberFormat="1" applyFont="1" applyFill="1" applyBorder="1" applyAlignment="1">
      <alignment horizontal="center" vertical="center"/>
    </xf>
    <xf numFmtId="10" fontId="6" fillId="0" borderId="20" xfId="0" applyNumberFormat="1" applyFont="1" applyBorder="1" applyAlignment="1">
      <alignment horizontal="center" vertical="center"/>
    </xf>
    <xf numFmtId="10" fontId="6" fillId="3" borderId="1" xfId="2" applyNumberFormat="1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0" borderId="20" xfId="0" applyFont="1" applyBorder="1"/>
    <xf numFmtId="0" fontId="6" fillId="0" borderId="24" xfId="0" applyFont="1" applyBorder="1" applyAlignment="1">
      <alignment horizontal="left" vertical="center"/>
    </xf>
    <xf numFmtId="10" fontId="6" fillId="3" borderId="37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25" xfId="0" applyFont="1" applyBorder="1" applyAlignment="1">
      <alignment vertical="center"/>
    </xf>
    <xf numFmtId="0" fontId="6" fillId="0" borderId="26" xfId="0" applyFont="1" applyBorder="1" applyAlignment="1">
      <alignment vertical="center"/>
    </xf>
    <xf numFmtId="10" fontId="6" fillId="0" borderId="27" xfId="0" applyNumberFormat="1" applyFont="1" applyBorder="1" applyAlignment="1">
      <alignment vertical="center"/>
    </xf>
    <xf numFmtId="0" fontId="6" fillId="0" borderId="28" xfId="0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/>
    </xf>
    <xf numFmtId="0" fontId="6" fillId="0" borderId="30" xfId="0" applyFont="1" applyBorder="1" applyAlignment="1">
      <alignment vertical="center"/>
    </xf>
    <xf numFmtId="0" fontId="8" fillId="5" borderId="5" xfId="0" applyFont="1" applyFill="1" applyBorder="1" applyAlignment="1">
      <alignment vertical="center" wrapText="1"/>
    </xf>
    <xf numFmtId="0" fontId="6" fillId="5" borderId="6" xfId="0" applyFont="1" applyFill="1" applyBorder="1" applyAlignment="1">
      <alignment vertical="center"/>
    </xf>
    <xf numFmtId="10" fontId="8" fillId="5" borderId="7" xfId="0" applyNumberFormat="1" applyFont="1" applyFill="1" applyBorder="1" applyAlignment="1">
      <alignment horizontal="center" vertical="center" wrapText="1"/>
    </xf>
    <xf numFmtId="10" fontId="6" fillId="0" borderId="23" xfId="2" applyNumberFormat="1" applyFont="1" applyBorder="1" applyAlignment="1">
      <alignment horizontal="right"/>
    </xf>
    <xf numFmtId="10" fontId="6" fillId="0" borderId="1" xfId="2" applyNumberFormat="1" applyFont="1" applyBorder="1" applyAlignment="1">
      <alignment horizontal="right"/>
    </xf>
    <xf numFmtId="10" fontId="6" fillId="0" borderId="20" xfId="2" applyNumberFormat="1" applyFont="1" applyBorder="1" applyAlignment="1">
      <alignment horizontal="right"/>
    </xf>
    <xf numFmtId="10" fontId="6" fillId="0" borderId="24" xfId="2" applyNumberFormat="1" applyFont="1" applyBorder="1" applyAlignment="1">
      <alignment horizontal="right"/>
    </xf>
    <xf numFmtId="10" fontId="6" fillId="0" borderId="36" xfId="2" applyNumberFormat="1" applyFont="1" applyBorder="1" applyAlignment="1">
      <alignment horizontal="right"/>
    </xf>
    <xf numFmtId="10" fontId="6" fillId="0" borderId="37" xfId="2" applyNumberFormat="1" applyFont="1" applyBorder="1" applyAlignment="1">
      <alignment horizontal="right"/>
    </xf>
    <xf numFmtId="0" fontId="7" fillId="0" borderId="52" xfId="0" applyFont="1" applyBorder="1"/>
    <xf numFmtId="0" fontId="21" fillId="0" borderId="52" xfId="0" applyFont="1" applyBorder="1" applyAlignment="1">
      <alignment horizontal="justify"/>
    </xf>
    <xf numFmtId="0" fontId="21" fillId="0" borderId="53" xfId="0" applyFont="1" applyBorder="1" applyAlignment="1">
      <alignment horizontal="justify"/>
    </xf>
    <xf numFmtId="0" fontId="18" fillId="10" borderId="51" xfId="0" applyFont="1" applyFill="1" applyBorder="1" applyAlignment="1">
      <alignment horizontal="center"/>
    </xf>
    <xf numFmtId="1" fontId="7" fillId="0" borderId="0" xfId="3" applyNumberFormat="1" applyFont="1" applyBorder="1" applyAlignment="1">
      <alignment horizontal="center" vertical="center"/>
    </xf>
    <xf numFmtId="164" fontId="4" fillId="0" borderId="11" xfId="3" applyFont="1" applyBorder="1" applyAlignment="1">
      <alignment vertical="center"/>
    </xf>
    <xf numFmtId="164" fontId="4" fillId="0" borderId="5" xfId="3" applyFont="1" applyBorder="1" applyAlignment="1">
      <alignment vertical="center"/>
    </xf>
    <xf numFmtId="0" fontId="5" fillId="0" borderId="3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7" borderId="1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64" fontId="4" fillId="0" borderId="9" xfId="3" applyFont="1" applyBorder="1" applyAlignment="1">
      <alignment horizontal="center" vertical="center"/>
    </xf>
    <xf numFmtId="0" fontId="14" fillId="2" borderId="17" xfId="0" applyFont="1" applyFill="1" applyBorder="1" applyAlignment="1">
      <alignment horizontal="center" vertical="center" wrapText="1"/>
    </xf>
    <xf numFmtId="166" fontId="7" fillId="0" borderId="1" xfId="3" applyNumberFormat="1" applyFont="1" applyBorder="1" applyAlignment="1">
      <alignment horizontal="center" vertical="center"/>
    </xf>
    <xf numFmtId="165" fontId="4" fillId="0" borderId="1" xfId="3" applyNumberFormat="1" applyFont="1" applyBorder="1" applyAlignment="1">
      <alignment horizontal="center" vertical="center"/>
    </xf>
    <xf numFmtId="166" fontId="4" fillId="0" borderId="1" xfId="3" applyNumberFormat="1" applyFont="1" applyBorder="1" applyAlignment="1">
      <alignment horizontal="center" vertical="center"/>
    </xf>
    <xf numFmtId="166" fontId="7" fillId="0" borderId="2" xfId="3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/>
    <xf numFmtId="0" fontId="4" fillId="0" borderId="54" xfId="0" applyFont="1" applyBorder="1" applyAlignment="1">
      <alignment vertical="center"/>
    </xf>
    <xf numFmtId="0" fontId="4" fillId="0" borderId="54" xfId="0" applyFont="1" applyBorder="1" applyAlignment="1">
      <alignment horizontal="center" vertical="center"/>
    </xf>
    <xf numFmtId="164" fontId="4" fillId="0" borderId="54" xfId="3" applyFont="1" applyBorder="1" applyAlignment="1">
      <alignment horizontal="center" vertical="center"/>
    </xf>
    <xf numFmtId="164" fontId="4" fillId="0" borderId="54" xfId="3" applyFont="1" applyFill="1" applyBorder="1" applyAlignment="1">
      <alignment horizontal="center" vertical="center"/>
    </xf>
    <xf numFmtId="4" fontId="2" fillId="0" borderId="0" xfId="0" applyNumberFormat="1" applyFont="1" applyAlignment="1">
      <alignment vertical="center"/>
    </xf>
    <xf numFmtId="0" fontId="8" fillId="0" borderId="23" xfId="0" applyFont="1" applyBorder="1"/>
    <xf numFmtId="0" fontId="8" fillId="0" borderId="20" xfId="0" applyFont="1" applyBorder="1"/>
    <xf numFmtId="169" fontId="6" fillId="0" borderId="20" xfId="0" applyNumberFormat="1" applyFont="1" applyBorder="1"/>
    <xf numFmtId="0" fontId="6" fillId="0" borderId="24" xfId="0" applyFont="1" applyBorder="1"/>
    <xf numFmtId="169" fontId="6" fillId="3" borderId="20" xfId="0" applyNumberFormat="1" applyFont="1" applyFill="1" applyBorder="1"/>
    <xf numFmtId="169" fontId="6" fillId="0" borderId="37" xfId="0" applyNumberFormat="1" applyFont="1" applyBorder="1"/>
    <xf numFmtId="0" fontId="18" fillId="0" borderId="1" xfId="0" applyFont="1" applyBorder="1" applyAlignment="1">
      <alignment horizontal="center"/>
    </xf>
    <xf numFmtId="0" fontId="18" fillId="0" borderId="23" xfId="0" applyFont="1" applyBorder="1" applyAlignment="1">
      <alignment horizontal="center"/>
    </xf>
    <xf numFmtId="0" fontId="18" fillId="0" borderId="20" xfId="0" applyFont="1" applyBorder="1" applyAlignment="1">
      <alignment horizontal="center"/>
    </xf>
    <xf numFmtId="170" fontId="6" fillId="3" borderId="20" xfId="0" applyNumberFormat="1" applyFont="1" applyFill="1" applyBorder="1"/>
    <xf numFmtId="0" fontId="6" fillId="0" borderId="23" xfId="0" applyFont="1" applyBorder="1" applyAlignment="1">
      <alignment horizontal="right"/>
    </xf>
    <xf numFmtId="4" fontId="33" fillId="0" borderId="0" xfId="0" applyNumberFormat="1" applyFont="1" applyAlignment="1">
      <alignment vertical="center"/>
    </xf>
    <xf numFmtId="0" fontId="31" fillId="0" borderId="0" xfId="0" applyFont="1"/>
    <xf numFmtId="0" fontId="2" fillId="0" borderId="2" xfId="0" applyFont="1" applyBorder="1" applyAlignment="1">
      <alignment vertical="center"/>
    </xf>
    <xf numFmtId="0" fontId="6" fillId="0" borderId="55" xfId="0" applyFont="1" applyBorder="1"/>
    <xf numFmtId="0" fontId="7" fillId="0" borderId="0" xfId="0" applyFont="1" applyAlignment="1">
      <alignment horizontal="center"/>
    </xf>
    <xf numFmtId="0" fontId="6" fillId="0" borderId="15" xfId="0" applyFont="1" applyBorder="1" applyAlignment="1">
      <alignment horizontal="center"/>
    </xf>
    <xf numFmtId="0" fontId="19" fillId="3" borderId="20" xfId="0" applyFont="1" applyFill="1" applyBorder="1" applyAlignment="1">
      <alignment horizontal="center"/>
    </xf>
    <xf numFmtId="0" fontId="6" fillId="3" borderId="20" xfId="0" applyFont="1" applyFill="1" applyBorder="1" applyAlignment="1">
      <alignment horizontal="center"/>
    </xf>
    <xf numFmtId="0" fontId="6" fillId="3" borderId="48" xfId="0" applyFont="1" applyFill="1" applyBorder="1" applyAlignment="1">
      <alignment horizontal="center"/>
    </xf>
    <xf numFmtId="0" fontId="6" fillId="3" borderId="50" xfId="0" applyFont="1" applyFill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39" xfId="0" applyFont="1" applyBorder="1" applyAlignment="1">
      <alignment horizontal="center"/>
    </xf>
    <xf numFmtId="0" fontId="8" fillId="0" borderId="48" xfId="0" applyFont="1" applyBorder="1" applyAlignment="1">
      <alignment horizontal="center"/>
    </xf>
    <xf numFmtId="10" fontId="19" fillId="0" borderId="20" xfId="2" applyNumberFormat="1" applyFont="1" applyBorder="1" applyAlignment="1">
      <alignment horizontal="center"/>
    </xf>
    <xf numFmtId="167" fontId="8" fillId="0" borderId="20" xfId="0" applyNumberFormat="1" applyFont="1" applyBorder="1" applyAlignment="1">
      <alignment horizontal="center"/>
    </xf>
    <xf numFmtId="0" fontId="19" fillId="0" borderId="20" xfId="0" applyFont="1" applyBorder="1" applyAlignment="1">
      <alignment horizontal="center"/>
    </xf>
    <xf numFmtId="0" fontId="19" fillId="0" borderId="48" xfId="0" applyFont="1" applyBorder="1" applyAlignment="1">
      <alignment horizontal="center"/>
    </xf>
    <xf numFmtId="9" fontId="19" fillId="0" borderId="20" xfId="2" applyFont="1" applyBorder="1" applyAlignment="1">
      <alignment horizontal="center"/>
    </xf>
    <xf numFmtId="9" fontId="8" fillId="0" borderId="31" xfId="2" applyFont="1" applyBorder="1" applyAlignment="1">
      <alignment horizontal="center"/>
    </xf>
    <xf numFmtId="168" fontId="25" fillId="0" borderId="20" xfId="3" applyNumberFormat="1" applyFont="1" applyFill="1" applyBorder="1" applyAlignment="1">
      <alignment horizontal="center" vertical="center" wrapText="1"/>
    </xf>
    <xf numFmtId="2" fontId="6" fillId="0" borderId="20" xfId="0" applyNumberFormat="1" applyFont="1" applyBorder="1"/>
    <xf numFmtId="0" fontId="24" fillId="0" borderId="1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4" fontId="0" fillId="0" borderId="0" xfId="0" applyNumberFormat="1" applyAlignment="1">
      <alignment horizontal="center" vertical="center"/>
    </xf>
    <xf numFmtId="10" fontId="20" fillId="0" borderId="20" xfId="0" applyNumberFormat="1" applyFont="1" applyBorder="1" applyAlignment="1">
      <alignment horizontal="center" vertical="center"/>
    </xf>
    <xf numFmtId="10" fontId="24" fillId="0" borderId="20" xfId="0" applyNumberFormat="1" applyFont="1" applyBorder="1" applyAlignment="1">
      <alignment horizontal="center" vertical="center"/>
    </xf>
    <xf numFmtId="10" fontId="24" fillId="5" borderId="20" xfId="0" applyNumberFormat="1" applyFont="1" applyFill="1" applyBorder="1" applyAlignment="1">
      <alignment horizontal="center" vertical="center"/>
    </xf>
    <xf numFmtId="10" fontId="24" fillId="9" borderId="37" xfId="0" applyNumberFormat="1" applyFont="1" applyFill="1" applyBorder="1" applyAlignment="1">
      <alignment horizontal="center" vertical="center"/>
    </xf>
    <xf numFmtId="10" fontId="24" fillId="0" borderId="0" xfId="0" applyNumberFormat="1" applyFont="1" applyAlignment="1">
      <alignment horizontal="center" vertical="center"/>
    </xf>
    <xf numFmtId="10" fontId="20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/>
    </xf>
    <xf numFmtId="0" fontId="20" fillId="0" borderId="0" xfId="0" applyFont="1" applyAlignment="1">
      <alignment horizontal="center" vertical="center"/>
    </xf>
    <xf numFmtId="0" fontId="21" fillId="0" borderId="0" xfId="4" applyFont="1"/>
    <xf numFmtId="0" fontId="21" fillId="0" borderId="21" xfId="4" applyFont="1" applyBorder="1"/>
    <xf numFmtId="0" fontId="34" fillId="0" borderId="22" xfId="4" applyFont="1" applyBorder="1" applyAlignment="1">
      <alignment horizontal="center" vertical="center"/>
    </xf>
    <xf numFmtId="0" fontId="34" fillId="0" borderId="12" xfId="4" applyFont="1" applyBorder="1" applyAlignment="1">
      <alignment horizontal="center" vertical="center"/>
    </xf>
    <xf numFmtId="0" fontId="21" fillId="0" borderId="20" xfId="4" applyFont="1" applyBorder="1" applyAlignment="1">
      <alignment horizontal="center"/>
    </xf>
    <xf numFmtId="0" fontId="21" fillId="0" borderId="36" xfId="4" applyFont="1" applyBorder="1"/>
    <xf numFmtId="0" fontId="21" fillId="0" borderId="37" xfId="4" applyFont="1" applyBorder="1"/>
    <xf numFmtId="0" fontId="34" fillId="5" borderId="22" xfId="4" applyFont="1" applyFill="1" applyBorder="1" applyAlignment="1">
      <alignment horizontal="center" wrapText="1"/>
    </xf>
    <xf numFmtId="0" fontId="34" fillId="5" borderId="12" xfId="4" applyFont="1" applyFill="1" applyBorder="1" applyAlignment="1">
      <alignment horizontal="center" wrapText="1"/>
    </xf>
    <xf numFmtId="164" fontId="21" fillId="0" borderId="23" xfId="3" applyFont="1" applyBorder="1"/>
    <xf numFmtId="171" fontId="21" fillId="11" borderId="1" xfId="4" applyNumberFormat="1" applyFont="1" applyFill="1" applyBorder="1" applyAlignment="1">
      <alignment horizontal="center"/>
    </xf>
    <xf numFmtId="171" fontId="21" fillId="0" borderId="20" xfId="4" applyNumberFormat="1" applyFont="1" applyBorder="1" applyAlignment="1">
      <alignment horizontal="center"/>
    </xf>
    <xf numFmtId="164" fontId="34" fillId="11" borderId="23" xfId="3" applyFont="1" applyFill="1" applyBorder="1"/>
    <xf numFmtId="0" fontId="34" fillId="11" borderId="1" xfId="4" applyFont="1" applyFill="1" applyBorder="1" applyAlignment="1">
      <alignment horizontal="center"/>
    </xf>
    <xf numFmtId="171" fontId="34" fillId="11" borderId="1" xfId="4" applyNumberFormat="1" applyFont="1" applyFill="1" applyBorder="1" applyAlignment="1">
      <alignment horizontal="center"/>
    </xf>
    <xf numFmtId="171" fontId="34" fillId="11" borderId="20" xfId="4" applyNumberFormat="1" applyFont="1" applyFill="1" applyBorder="1" applyAlignment="1">
      <alignment horizontal="center"/>
    </xf>
    <xf numFmtId="164" fontId="34" fillId="5" borderId="14" xfId="3" applyFont="1" applyFill="1" applyBorder="1"/>
    <xf numFmtId="0" fontId="34" fillId="5" borderId="9" xfId="4" applyFont="1" applyFill="1" applyBorder="1" applyAlignment="1">
      <alignment horizontal="center"/>
    </xf>
    <xf numFmtId="171" fontId="34" fillId="5" borderId="10" xfId="4" applyNumberFormat="1" applyFont="1" applyFill="1" applyBorder="1" applyAlignment="1">
      <alignment horizontal="center"/>
    </xf>
    <xf numFmtId="3" fontId="34" fillId="5" borderId="1" xfId="4" applyNumberFormat="1" applyFont="1" applyFill="1" applyBorder="1" applyAlignment="1">
      <alignment horizontal="center"/>
    </xf>
    <xf numFmtId="164" fontId="21" fillId="0" borderId="28" xfId="3" applyFont="1" applyBorder="1"/>
    <xf numFmtId="0" fontId="21" fillId="0" borderId="29" xfId="4" applyFont="1" applyBorder="1" applyAlignment="1">
      <alignment horizontal="center"/>
    </xf>
    <xf numFmtId="0" fontId="21" fillId="0" borderId="30" xfId="4" applyFont="1" applyBorder="1" applyAlignment="1">
      <alignment horizontal="center"/>
    </xf>
    <xf numFmtId="164" fontId="21" fillId="0" borderId="14" xfId="3" applyFont="1" applyFill="1" applyBorder="1"/>
    <xf numFmtId="171" fontId="21" fillId="0" borderId="9" xfId="4" applyNumberFormat="1" applyFont="1" applyBorder="1" applyAlignment="1">
      <alignment horizontal="center"/>
    </xf>
    <xf numFmtId="171" fontId="21" fillId="0" borderId="10" xfId="4" applyNumberFormat="1" applyFont="1" applyBorder="1" applyAlignment="1">
      <alignment horizontal="center"/>
    </xf>
    <xf numFmtId="0" fontId="34" fillId="5" borderId="21" xfId="4" applyFont="1" applyFill="1" applyBorder="1" applyAlignment="1">
      <alignment horizontal="centerContinuous" vertical="center"/>
    </xf>
    <xf numFmtId="0" fontId="34" fillId="5" borderId="22" xfId="4" applyFont="1" applyFill="1" applyBorder="1" applyAlignment="1">
      <alignment horizontal="centerContinuous" vertical="center"/>
    </xf>
    <xf numFmtId="0" fontId="34" fillId="0" borderId="26" xfId="4" applyFont="1" applyBorder="1" applyAlignment="1">
      <alignment horizontal="center" wrapText="1"/>
    </xf>
    <xf numFmtId="0" fontId="34" fillId="0" borderId="27" xfId="4" applyFont="1" applyBorder="1" applyAlignment="1">
      <alignment horizontal="center" wrapText="1"/>
    </xf>
    <xf numFmtId="171" fontId="21" fillId="0" borderId="39" xfId="4" applyNumberFormat="1" applyFont="1" applyBorder="1" applyAlignment="1">
      <alignment horizontal="center"/>
    </xf>
    <xf numFmtId="164" fontId="21" fillId="0" borderId="14" xfId="3" applyFont="1" applyBorder="1"/>
    <xf numFmtId="171" fontId="34" fillId="0" borderId="0" xfId="4" applyNumberFormat="1" applyFont="1" applyAlignment="1">
      <alignment horizontal="center"/>
    </xf>
    <xf numFmtId="171" fontId="34" fillId="0" borderId="39" xfId="4" applyNumberFormat="1" applyFont="1" applyBorder="1" applyAlignment="1">
      <alignment horizontal="center"/>
    </xf>
    <xf numFmtId="164" fontId="21" fillId="0" borderId="19" xfId="3" applyFont="1" applyBorder="1"/>
    <xf numFmtId="0" fontId="21" fillId="0" borderId="11" xfId="4" applyFont="1" applyBorder="1"/>
    <xf numFmtId="0" fontId="21" fillId="0" borderId="59" xfId="4" applyFont="1" applyBorder="1"/>
    <xf numFmtId="0" fontId="21" fillId="0" borderId="9" xfId="4" applyFont="1" applyBorder="1"/>
    <xf numFmtId="0" fontId="21" fillId="0" borderId="10" xfId="4" applyFont="1" applyBorder="1"/>
    <xf numFmtId="0" fontId="36" fillId="0" borderId="0" xfId="4" applyFont="1"/>
    <xf numFmtId="164" fontId="34" fillId="5" borderId="17" xfId="3" applyFont="1" applyFill="1" applyBorder="1" applyAlignment="1">
      <alignment horizontal="center" vertical="center" wrapText="1"/>
    </xf>
    <xf numFmtId="164" fontId="34" fillId="5" borderId="6" xfId="3" applyFont="1" applyFill="1" applyBorder="1" applyAlignment="1">
      <alignment horizontal="center" vertical="center" wrapText="1"/>
    </xf>
    <xf numFmtId="164" fontId="34" fillId="5" borderId="4" xfId="3" applyFont="1" applyFill="1" applyBorder="1" applyAlignment="1">
      <alignment horizontal="center" vertical="center" wrapText="1"/>
    </xf>
    <xf numFmtId="0" fontId="21" fillId="0" borderId="1" xfId="4" applyFont="1" applyBorder="1" applyAlignment="1">
      <alignment horizontal="center" vertical="center"/>
    </xf>
    <xf numFmtId="0" fontId="32" fillId="0" borderId="1" xfId="4" applyFont="1" applyBorder="1" applyAlignment="1">
      <alignment horizontal="center"/>
    </xf>
    <xf numFmtId="171" fontId="32" fillId="0" borderId="1" xfId="4" applyNumberFormat="1" applyFont="1" applyBorder="1" applyAlignment="1">
      <alignment horizontal="center"/>
    </xf>
    <xf numFmtId="164" fontId="35" fillId="0" borderId="55" xfId="3" applyFont="1" applyFill="1" applyBorder="1"/>
    <xf numFmtId="0" fontId="32" fillId="0" borderId="56" xfId="4" applyFont="1" applyBorder="1" applyAlignment="1">
      <alignment horizontal="center"/>
    </xf>
    <xf numFmtId="0" fontId="32" fillId="0" borderId="58" xfId="4" applyFont="1" applyBorder="1" applyAlignment="1">
      <alignment horizontal="center"/>
    </xf>
    <xf numFmtId="164" fontId="35" fillId="0" borderId="38" xfId="3" applyFont="1" applyFill="1" applyBorder="1"/>
    <xf numFmtId="0" fontId="32" fillId="0" borderId="0" xfId="4" applyFont="1" applyAlignment="1">
      <alignment horizontal="center"/>
    </xf>
    <xf numFmtId="0" fontId="32" fillId="0" borderId="39" xfId="4" applyFont="1" applyBorder="1" applyAlignment="1">
      <alignment horizontal="center"/>
    </xf>
    <xf numFmtId="0" fontId="5" fillId="5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171" fontId="6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2" fontId="8" fillId="0" borderId="1" xfId="0" applyNumberFormat="1" applyFont="1" applyBorder="1" applyAlignment="1">
      <alignment horizontal="center" vertical="center"/>
    </xf>
    <xf numFmtId="0" fontId="5" fillId="8" borderId="6" xfId="4" applyFont="1" applyFill="1" applyBorder="1"/>
    <xf numFmtId="0" fontId="5" fillId="8" borderId="7" xfId="4" applyFont="1" applyFill="1" applyBorder="1"/>
    <xf numFmtId="164" fontId="5" fillId="5" borderId="14" xfId="3" applyFont="1" applyFill="1" applyBorder="1"/>
    <xf numFmtId="0" fontId="34" fillId="5" borderId="9" xfId="4" applyFont="1" applyFill="1" applyBorder="1" applyAlignment="1">
      <alignment horizontal="center" wrapText="1"/>
    </xf>
    <xf numFmtId="0" fontId="34" fillId="5" borderId="15" xfId="4" applyFont="1" applyFill="1" applyBorder="1" applyAlignment="1">
      <alignment horizontal="center" wrapText="1"/>
    </xf>
    <xf numFmtId="0" fontId="34" fillId="0" borderId="61" xfId="4" applyFont="1" applyBorder="1" applyAlignment="1">
      <alignment horizontal="center" wrapText="1"/>
    </xf>
    <xf numFmtId="171" fontId="21" fillId="0" borderId="62" xfId="4" applyNumberFormat="1" applyFont="1" applyBorder="1" applyAlignment="1">
      <alignment horizontal="center"/>
    </xf>
    <xf numFmtId="171" fontId="21" fillId="0" borderId="0" xfId="4" applyNumberFormat="1" applyFont="1" applyAlignment="1">
      <alignment horizontal="center"/>
    </xf>
    <xf numFmtId="164" fontId="34" fillId="5" borderId="55" xfId="3" applyFont="1" applyFill="1" applyBorder="1"/>
    <xf numFmtId="0" fontId="34" fillId="5" borderId="56" xfId="4" applyFont="1" applyFill="1" applyBorder="1" applyAlignment="1">
      <alignment horizontal="center"/>
    </xf>
    <xf numFmtId="0" fontId="34" fillId="5" borderId="57" xfId="4" applyFont="1" applyFill="1" applyBorder="1" applyAlignment="1">
      <alignment horizontal="center"/>
    </xf>
    <xf numFmtId="0" fontId="34" fillId="5" borderId="3" xfId="4" applyFont="1" applyFill="1" applyBorder="1" applyAlignment="1">
      <alignment horizontal="center"/>
    </xf>
    <xf numFmtId="171" fontId="34" fillId="0" borderId="62" xfId="4" applyNumberFormat="1" applyFont="1" applyBorder="1" applyAlignment="1">
      <alignment horizontal="center"/>
    </xf>
    <xf numFmtId="164" fontId="35" fillId="4" borderId="25" xfId="3" applyFont="1" applyFill="1" applyBorder="1"/>
    <xf numFmtId="0" fontId="32" fillId="4" borderId="26" xfId="4" applyFont="1" applyFill="1" applyBorder="1" applyAlignment="1">
      <alignment horizontal="center"/>
    </xf>
    <xf numFmtId="0" fontId="32" fillId="4" borderId="27" xfId="4" applyFont="1" applyFill="1" applyBorder="1" applyAlignment="1">
      <alignment horizontal="center"/>
    </xf>
    <xf numFmtId="164" fontId="35" fillId="4" borderId="38" xfId="3" applyFont="1" applyFill="1" applyBorder="1"/>
    <xf numFmtId="0" fontId="32" fillId="4" borderId="0" xfId="4" applyFont="1" applyFill="1" applyAlignment="1">
      <alignment horizontal="center"/>
    </xf>
    <xf numFmtId="0" fontId="32" fillId="4" borderId="39" xfId="4" applyFont="1" applyFill="1" applyBorder="1" applyAlignment="1">
      <alignment horizontal="center"/>
    </xf>
    <xf numFmtId="164" fontId="35" fillId="4" borderId="28" xfId="3" applyFont="1" applyFill="1" applyBorder="1"/>
    <xf numFmtId="0" fontId="32" fillId="4" borderId="29" xfId="4" applyFont="1" applyFill="1" applyBorder="1" applyAlignment="1">
      <alignment horizontal="center"/>
    </xf>
    <xf numFmtId="0" fontId="32" fillId="4" borderId="30" xfId="4" applyFont="1" applyFill="1" applyBorder="1" applyAlignment="1">
      <alignment horizontal="center"/>
    </xf>
    <xf numFmtId="164" fontId="34" fillId="0" borderId="40" xfId="3" applyFont="1" applyBorder="1"/>
    <xf numFmtId="0" fontId="34" fillId="0" borderId="41" xfId="4" applyFont="1" applyBorder="1"/>
    <xf numFmtId="0" fontId="34" fillId="0" borderId="60" xfId="4" applyFont="1" applyBorder="1"/>
    <xf numFmtId="0" fontId="5" fillId="5" borderId="37" xfId="4" applyFont="1" applyFill="1" applyBorder="1" applyAlignment="1">
      <alignment horizontal="center"/>
    </xf>
    <xf numFmtId="164" fontId="5" fillId="8" borderId="5" xfId="3" applyFont="1" applyFill="1" applyBorder="1" applyAlignment="1"/>
    <xf numFmtId="164" fontId="34" fillId="0" borderId="23" xfId="3" applyFont="1" applyBorder="1" applyAlignment="1">
      <alignment horizontal="left" vertical="center"/>
    </xf>
    <xf numFmtId="164" fontId="34" fillId="0" borderId="24" xfId="3" applyFont="1" applyBorder="1" applyAlignment="1">
      <alignment horizontal="left" vertical="center"/>
    </xf>
    <xf numFmtId="0" fontId="32" fillId="0" borderId="0" xfId="0" applyFont="1"/>
    <xf numFmtId="0" fontId="32" fillId="0" borderId="0" xfId="0" applyFont="1" applyAlignment="1">
      <alignment vertical="center"/>
    </xf>
    <xf numFmtId="0" fontId="8" fillId="5" borderId="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vertical="center"/>
    </xf>
    <xf numFmtId="164" fontId="5" fillId="5" borderId="5" xfId="3" applyFont="1" applyFill="1" applyBorder="1"/>
    <xf numFmtId="0" fontId="34" fillId="5" borderId="6" xfId="4" applyFont="1" applyFill="1" applyBorder="1" applyAlignment="1">
      <alignment horizontal="center" wrapText="1"/>
    </xf>
    <xf numFmtId="0" fontId="34" fillId="5" borderId="7" xfId="4" applyFont="1" applyFill="1" applyBorder="1" applyAlignment="1">
      <alignment horizontal="center" wrapText="1"/>
    </xf>
    <xf numFmtId="0" fontId="8" fillId="13" borderId="19" xfId="0" applyFont="1" applyFill="1" applyBorder="1" applyAlignment="1">
      <alignment vertical="center"/>
    </xf>
    <xf numFmtId="0" fontId="6" fillId="13" borderId="11" xfId="0" applyFont="1" applyFill="1" applyBorder="1"/>
    <xf numFmtId="0" fontId="6" fillId="13" borderId="46" xfId="0" applyFont="1" applyFill="1" applyBorder="1"/>
    <xf numFmtId="0" fontId="8" fillId="5" borderId="20" xfId="0" applyFont="1" applyFill="1" applyBorder="1" applyAlignment="1">
      <alignment horizontal="center" vertical="center" wrapText="1"/>
    </xf>
    <xf numFmtId="164" fontId="6" fillId="0" borderId="14" xfId="3" applyFont="1" applyBorder="1" applyAlignment="1">
      <alignment vertical="center"/>
    </xf>
    <xf numFmtId="44" fontId="6" fillId="0" borderId="20" xfId="6" applyFont="1" applyBorder="1" applyAlignment="1">
      <alignment vertical="center"/>
    </xf>
    <xf numFmtId="164" fontId="8" fillId="5" borderId="40" xfId="3" applyFont="1" applyFill="1" applyBorder="1" applyAlignment="1">
      <alignment vertical="center"/>
    </xf>
    <xf numFmtId="0" fontId="8" fillId="5" borderId="60" xfId="0" applyFont="1" applyFill="1" applyBorder="1" applyAlignment="1">
      <alignment vertical="center"/>
    </xf>
    <xf numFmtId="0" fontId="8" fillId="5" borderId="36" xfId="0" applyFont="1" applyFill="1" applyBorder="1" applyAlignment="1">
      <alignment horizontal="center" vertical="center"/>
    </xf>
    <xf numFmtId="44" fontId="8" fillId="5" borderId="37" xfId="6" applyFont="1" applyFill="1" applyBorder="1" applyAlignment="1">
      <alignment vertical="center"/>
    </xf>
    <xf numFmtId="171" fontId="32" fillId="0" borderId="22" xfId="3" applyNumberFormat="1" applyFont="1" applyFill="1" applyBorder="1" applyAlignment="1">
      <alignment horizontal="center" vertical="center"/>
    </xf>
    <xf numFmtId="171" fontId="5" fillId="0" borderId="22" xfId="3" applyNumberFormat="1" applyFont="1" applyFill="1" applyBorder="1" applyAlignment="1">
      <alignment horizontal="center" vertical="center"/>
    </xf>
    <xf numFmtId="164" fontId="21" fillId="0" borderId="38" xfId="3" applyFont="1" applyFill="1" applyBorder="1" applyAlignment="1">
      <alignment horizontal="left" vertical="center"/>
    </xf>
    <xf numFmtId="164" fontId="21" fillId="0" borderId="0" xfId="3" applyFont="1" applyFill="1" applyBorder="1" applyAlignment="1">
      <alignment horizontal="left" vertical="center"/>
    </xf>
    <xf numFmtId="164" fontId="21" fillId="0" borderId="63" xfId="3" applyFont="1" applyFill="1" applyBorder="1" applyAlignment="1">
      <alignment horizontal="left" vertical="center"/>
    </xf>
    <xf numFmtId="1" fontId="32" fillId="0" borderId="64" xfId="3" applyNumberFormat="1" applyFont="1" applyFill="1" applyBorder="1" applyAlignment="1">
      <alignment horizontal="center" vertical="center"/>
    </xf>
    <xf numFmtId="164" fontId="0" fillId="0" borderId="14" xfId="3" applyFont="1" applyFill="1" applyBorder="1" applyAlignment="1">
      <alignment vertical="center"/>
    </xf>
    <xf numFmtId="164" fontId="7" fillId="0" borderId="19" xfId="3" applyFont="1" applyFill="1" applyBorder="1" applyAlignment="1">
      <alignment vertical="center"/>
    </xf>
    <xf numFmtId="164" fontId="7" fillId="0" borderId="14" xfId="3" applyFont="1" applyFill="1" applyBorder="1" applyAlignment="1">
      <alignment vertical="center"/>
    </xf>
    <xf numFmtId="164" fontId="4" fillId="0" borderId="13" xfId="3" applyFont="1" applyBorder="1" applyAlignment="1">
      <alignment horizontal="center" vertical="center"/>
    </xf>
    <xf numFmtId="164" fontId="7" fillId="0" borderId="40" xfId="3" applyFont="1" applyFill="1" applyBorder="1" applyAlignment="1">
      <alignment vertical="center"/>
    </xf>
    <xf numFmtId="172" fontId="7" fillId="0" borderId="1" xfId="3" applyNumberFormat="1" applyFont="1" applyFill="1" applyBorder="1" applyAlignment="1">
      <alignment vertical="center"/>
    </xf>
    <xf numFmtId="172" fontId="7" fillId="0" borderId="1" xfId="3" applyNumberFormat="1" applyFont="1" applyBorder="1" applyAlignment="1">
      <alignment vertical="center"/>
    </xf>
    <xf numFmtId="164" fontId="21" fillId="0" borderId="55" xfId="3" applyFont="1" applyFill="1" applyBorder="1" applyAlignment="1">
      <alignment horizontal="left" vertical="center"/>
    </xf>
    <xf numFmtId="164" fontId="21" fillId="0" borderId="56" xfId="3" applyFont="1" applyFill="1" applyBorder="1" applyAlignment="1">
      <alignment horizontal="left" vertical="center"/>
    </xf>
    <xf numFmtId="164" fontId="21" fillId="0" borderId="57" xfId="3" applyFont="1" applyFill="1" applyBorder="1" applyAlignment="1">
      <alignment horizontal="left" vertical="center"/>
    </xf>
    <xf numFmtId="1" fontId="32" fillId="0" borderId="3" xfId="3" applyNumberFormat="1" applyFont="1" applyFill="1" applyBorder="1" applyAlignment="1">
      <alignment horizontal="center" vertical="center"/>
    </xf>
    <xf numFmtId="171" fontId="32" fillId="0" borderId="3" xfId="3" applyNumberFormat="1" applyFont="1" applyFill="1" applyBorder="1" applyAlignment="1">
      <alignment horizontal="center" vertical="center"/>
    </xf>
    <xf numFmtId="171" fontId="5" fillId="0" borderId="3" xfId="3" applyNumberFormat="1" applyFont="1" applyFill="1" applyBorder="1" applyAlignment="1">
      <alignment horizontal="center" vertical="center"/>
    </xf>
    <xf numFmtId="10" fontId="5" fillId="12" borderId="36" xfId="2" applyNumberFormat="1" applyFont="1" applyFill="1" applyBorder="1" applyAlignment="1">
      <alignment horizontal="center" vertical="center"/>
    </xf>
    <xf numFmtId="1" fontId="32" fillId="0" borderId="12" xfId="3" applyNumberFormat="1" applyFont="1" applyFill="1" applyBorder="1" applyAlignment="1">
      <alignment horizontal="center" vertical="center"/>
    </xf>
    <xf numFmtId="1" fontId="32" fillId="0" borderId="37" xfId="3" applyNumberFormat="1" applyFont="1" applyFill="1" applyBorder="1" applyAlignment="1">
      <alignment horizontal="center" vertical="center"/>
    </xf>
    <xf numFmtId="171" fontId="21" fillId="14" borderId="17" xfId="3" applyNumberFormat="1" applyFont="1" applyFill="1" applyBorder="1" applyAlignment="1">
      <alignment horizontal="center" vertical="center"/>
    </xf>
    <xf numFmtId="171" fontId="5" fillId="5" borderId="17" xfId="3" applyNumberFormat="1" applyFont="1" applyFill="1" applyBorder="1" applyAlignment="1">
      <alignment horizontal="center" vertical="center"/>
    </xf>
    <xf numFmtId="10" fontId="5" fillId="14" borderId="7" xfId="2" applyNumberFormat="1" applyFont="1" applyFill="1" applyBorder="1" applyAlignment="1">
      <alignment horizontal="center" vertical="center"/>
    </xf>
    <xf numFmtId="171" fontId="21" fillId="14" borderId="6" xfId="3" applyNumberFormat="1" applyFont="1" applyFill="1" applyBorder="1" applyAlignment="1">
      <alignment horizontal="center" vertical="center"/>
    </xf>
    <xf numFmtId="172" fontId="7" fillId="0" borderId="8" xfId="3" applyNumberFormat="1" applyFont="1" applyBorder="1" applyAlignment="1">
      <alignment vertical="center"/>
    </xf>
    <xf numFmtId="0" fontId="5" fillId="8" borderId="1" xfId="0" applyFont="1" applyFill="1" applyBorder="1" applyAlignment="1">
      <alignment vertical="center"/>
    </xf>
    <xf numFmtId="0" fontId="32" fillId="8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44" fontId="4" fillId="0" borderId="1" xfId="7" applyFont="1" applyBorder="1" applyAlignment="1">
      <alignment vertical="center"/>
    </xf>
    <xf numFmtId="44" fontId="0" fillId="0" borderId="1" xfId="7" applyFont="1" applyBorder="1" applyAlignment="1">
      <alignment vertical="center"/>
    </xf>
    <xf numFmtId="44" fontId="4" fillId="0" borderId="36" xfId="7" applyFont="1" applyBorder="1" applyAlignment="1">
      <alignment vertical="center"/>
    </xf>
    <xf numFmtId="44" fontId="4" fillId="0" borderId="34" xfId="7" applyFont="1" applyBorder="1" applyAlignment="1">
      <alignment vertical="center"/>
    </xf>
    <xf numFmtId="10" fontId="4" fillId="0" borderId="15" xfId="2" applyNumberFormat="1" applyFont="1" applyBorder="1" applyAlignment="1">
      <alignment horizontal="center" vertical="center"/>
    </xf>
    <xf numFmtId="10" fontId="0" fillId="0" borderId="15" xfId="2" applyNumberFormat="1" applyFont="1" applyBorder="1" applyAlignment="1">
      <alignment horizontal="center" vertical="center"/>
    </xf>
    <xf numFmtId="10" fontId="7" fillId="0" borderId="15" xfId="2" applyNumberFormat="1" applyFont="1" applyBorder="1" applyAlignment="1">
      <alignment horizontal="center" vertical="center"/>
    </xf>
    <xf numFmtId="10" fontId="4" fillId="0" borderId="18" xfId="2" applyNumberFormat="1" applyFont="1" applyBorder="1" applyAlignment="1">
      <alignment horizontal="center" vertical="center"/>
    </xf>
    <xf numFmtId="3" fontId="34" fillId="8" borderId="36" xfId="4" applyNumberFormat="1" applyFont="1" applyFill="1" applyBorder="1" applyAlignment="1">
      <alignment horizontal="center"/>
    </xf>
    <xf numFmtId="3" fontId="5" fillId="9" borderId="20" xfId="4" applyNumberFormat="1" applyFont="1" applyFill="1" applyBorder="1" applyAlignment="1">
      <alignment horizontal="center" vertical="center"/>
    </xf>
    <xf numFmtId="10" fontId="5" fillId="12" borderId="23" xfId="2" applyNumberFormat="1" applyFont="1" applyFill="1" applyBorder="1" applyAlignment="1">
      <alignment horizontal="center" vertical="center"/>
    </xf>
    <xf numFmtId="10" fontId="5" fillId="12" borderId="1" xfId="2" applyNumberFormat="1" applyFont="1" applyFill="1" applyBorder="1" applyAlignment="1">
      <alignment horizontal="center" vertical="center"/>
    </xf>
    <xf numFmtId="10" fontId="5" fillId="12" borderId="20" xfId="2" applyNumberFormat="1" applyFont="1" applyFill="1" applyBorder="1" applyAlignment="1">
      <alignment horizontal="center" vertical="center"/>
    </xf>
    <xf numFmtId="10" fontId="5" fillId="12" borderId="24" xfId="2" applyNumberFormat="1" applyFont="1" applyFill="1" applyBorder="1" applyAlignment="1">
      <alignment horizontal="center" vertical="center"/>
    </xf>
    <xf numFmtId="10" fontId="5" fillId="12" borderId="37" xfId="2" applyNumberFormat="1" applyFont="1" applyFill="1" applyBorder="1" applyAlignment="1">
      <alignment horizontal="center" vertical="center"/>
    </xf>
    <xf numFmtId="0" fontId="34" fillId="8" borderId="36" xfId="4" applyFont="1" applyFill="1" applyBorder="1" applyAlignment="1">
      <alignment horizontal="center"/>
    </xf>
    <xf numFmtId="171" fontId="34" fillId="8" borderId="36" xfId="4" applyNumberFormat="1" applyFont="1" applyFill="1" applyBorder="1" applyAlignment="1">
      <alignment horizontal="center"/>
    </xf>
    <xf numFmtId="0" fontId="4" fillId="0" borderId="8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1" fontId="34" fillId="8" borderId="36" xfId="4" applyNumberFormat="1" applyFont="1" applyFill="1" applyBorder="1" applyAlignment="1">
      <alignment horizontal="center"/>
    </xf>
    <xf numFmtId="3" fontId="34" fillId="9" borderId="37" xfId="4" applyNumberFormat="1" applyFont="1" applyFill="1" applyBorder="1" applyAlignment="1">
      <alignment horizontal="center"/>
    </xf>
    <xf numFmtId="4" fontId="35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3" fillId="0" borderId="0" xfId="3" applyFont="1" applyFill="1" applyAlignment="1">
      <alignment vertical="center"/>
    </xf>
    <xf numFmtId="173" fontId="5" fillId="12" borderId="22" xfId="2" applyNumberFormat="1" applyFont="1" applyFill="1" applyBorder="1" applyAlignment="1">
      <alignment horizontal="center" vertical="center"/>
    </xf>
    <xf numFmtId="173" fontId="5" fillId="12" borderId="36" xfId="2" applyNumberFormat="1" applyFont="1" applyFill="1" applyBorder="1" applyAlignment="1">
      <alignment horizontal="center" vertical="center"/>
    </xf>
    <xf numFmtId="173" fontId="5" fillId="5" borderId="6" xfId="2" applyNumberFormat="1" applyFont="1" applyFill="1" applyBorder="1" applyAlignment="1">
      <alignment horizontal="center" vertical="center"/>
    </xf>
    <xf numFmtId="173" fontId="4" fillId="3" borderId="7" xfId="2" applyNumberFormat="1" applyFont="1" applyFill="1" applyBorder="1" applyAlignment="1">
      <alignment horizontal="center" vertical="center"/>
    </xf>
    <xf numFmtId="172" fontId="7" fillId="0" borderId="0" xfId="3" applyNumberFormat="1" applyFont="1" applyFill="1" applyBorder="1" applyAlignment="1">
      <alignment vertical="center"/>
    </xf>
    <xf numFmtId="164" fontId="2" fillId="3" borderId="1" xfId="3" applyFont="1" applyFill="1" applyBorder="1" applyAlignment="1">
      <alignment horizontal="center" vertical="center"/>
    </xf>
    <xf numFmtId="164" fontId="2" fillId="0" borderId="1" xfId="3" applyFont="1" applyBorder="1" applyAlignment="1">
      <alignment horizontal="center" vertical="center"/>
    </xf>
    <xf numFmtId="0" fontId="21" fillId="15" borderId="1" xfId="4" applyFont="1" applyFill="1" applyBorder="1" applyAlignment="1">
      <alignment horizontal="center" vertical="center"/>
    </xf>
    <xf numFmtId="0" fontId="21" fillId="16" borderId="1" xfId="4" applyFont="1" applyFill="1" applyBorder="1" applyAlignment="1">
      <alignment horizontal="center" vertical="center"/>
    </xf>
    <xf numFmtId="0" fontId="32" fillId="16" borderId="20" xfId="4" applyFont="1" applyFill="1" applyBorder="1" applyAlignment="1">
      <alignment horizontal="center"/>
    </xf>
    <xf numFmtId="0" fontId="32" fillId="15" borderId="12" xfId="4" applyFont="1" applyFill="1" applyBorder="1" applyAlignment="1">
      <alignment horizontal="center"/>
    </xf>
    <xf numFmtId="12" fontId="7" fillId="3" borderId="1" xfId="0" applyNumberFormat="1" applyFont="1" applyFill="1" applyBorder="1" applyAlignment="1">
      <alignment horizontal="center" vertical="center"/>
    </xf>
    <xf numFmtId="164" fontId="7" fillId="3" borderId="64" xfId="3" applyFont="1" applyFill="1" applyBorder="1" applyAlignment="1">
      <alignment horizontal="center" vertical="center"/>
    </xf>
    <xf numFmtId="164" fontId="7" fillId="0" borderId="3" xfId="3" applyFont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0" fontId="7" fillId="3" borderId="18" xfId="0" applyFont="1" applyFill="1" applyBorder="1" applyAlignment="1">
      <alignment horizontal="center" vertical="center"/>
    </xf>
    <xf numFmtId="164" fontId="2" fillId="0" borderId="14" xfId="3" applyFont="1" applyFill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6" fillId="0" borderId="36" xfId="0" applyFont="1" applyBorder="1" applyAlignment="1">
      <alignment horizontal="center"/>
    </xf>
    <xf numFmtId="164" fontId="4" fillId="0" borderId="5" xfId="3" applyFont="1" applyFill="1" applyBorder="1" applyAlignment="1">
      <alignment vertical="center"/>
    </xf>
    <xf numFmtId="164" fontId="19" fillId="8" borderId="40" xfId="3" applyFont="1" applyFill="1" applyBorder="1"/>
    <xf numFmtId="3" fontId="5" fillId="9" borderId="50" xfId="4" applyNumberFormat="1" applyFont="1" applyFill="1" applyBorder="1" applyAlignment="1">
      <alignment horizontal="center" vertical="center"/>
    </xf>
    <xf numFmtId="10" fontId="5" fillId="12" borderId="49" xfId="2" applyNumberFormat="1" applyFont="1" applyFill="1" applyBorder="1" applyAlignment="1">
      <alignment horizontal="center" vertical="center"/>
    </xf>
    <xf numFmtId="10" fontId="5" fillId="12" borderId="2" xfId="2" applyNumberFormat="1" applyFont="1" applyFill="1" applyBorder="1" applyAlignment="1">
      <alignment horizontal="center" vertical="center"/>
    </xf>
    <xf numFmtId="10" fontId="5" fillId="12" borderId="50" xfId="2" applyNumberFormat="1" applyFont="1" applyFill="1" applyBorder="1" applyAlignment="1">
      <alignment horizontal="center" vertical="center"/>
    </xf>
    <xf numFmtId="164" fontId="34" fillId="11" borderId="24" xfId="3" applyFont="1" applyFill="1" applyBorder="1"/>
    <xf numFmtId="171" fontId="34" fillId="11" borderId="36" xfId="4" applyNumberFormat="1" applyFont="1" applyFill="1" applyBorder="1" applyAlignment="1">
      <alignment horizontal="center"/>
    </xf>
    <xf numFmtId="0" fontId="34" fillId="11" borderId="36" xfId="4" applyFont="1" applyFill="1" applyBorder="1" applyAlignment="1">
      <alignment horizontal="center"/>
    </xf>
    <xf numFmtId="171" fontId="34" fillId="11" borderId="37" xfId="4" applyNumberFormat="1" applyFont="1" applyFill="1" applyBorder="1" applyAlignment="1">
      <alignment horizontal="center"/>
    </xf>
    <xf numFmtId="0" fontId="34" fillId="5" borderId="21" xfId="4" applyFont="1" applyFill="1" applyBorder="1" applyAlignment="1">
      <alignment horizontal="center" vertical="center"/>
    </xf>
    <xf numFmtId="164" fontId="34" fillId="0" borderId="49" xfId="3" applyFont="1" applyFill="1" applyBorder="1"/>
    <xf numFmtId="1" fontId="34" fillId="0" borderId="2" xfId="4" applyNumberFormat="1" applyFont="1" applyBorder="1" applyAlignment="1">
      <alignment horizontal="center"/>
    </xf>
    <xf numFmtId="3" fontId="34" fillId="0" borderId="2" xfId="4" applyNumberFormat="1" applyFont="1" applyBorder="1" applyAlignment="1">
      <alignment horizontal="center"/>
    </xf>
    <xf numFmtId="164" fontId="34" fillId="0" borderId="23" xfId="3" applyFont="1" applyFill="1" applyBorder="1"/>
    <xf numFmtId="1" fontId="34" fillId="0" borderId="1" xfId="4" applyNumberFormat="1" applyFont="1" applyBorder="1" applyAlignment="1">
      <alignment horizontal="center"/>
    </xf>
    <xf numFmtId="3" fontId="34" fillId="0" borderId="1" xfId="4" applyNumberFormat="1" applyFont="1" applyBorder="1" applyAlignment="1">
      <alignment horizontal="center"/>
    </xf>
    <xf numFmtId="0" fontId="38" fillId="0" borderId="0" xfId="4" applyFont="1"/>
    <xf numFmtId="0" fontId="21" fillId="5" borderId="36" xfId="4" applyFont="1" applyFill="1" applyBorder="1" applyAlignment="1">
      <alignment horizontal="center"/>
    </xf>
    <xf numFmtId="164" fontId="5" fillId="8" borderId="16" xfId="3" applyFont="1" applyFill="1" applyBorder="1" applyAlignment="1">
      <alignment horizontal="left"/>
    </xf>
    <xf numFmtId="164" fontId="5" fillId="8" borderId="17" xfId="3" applyFont="1" applyFill="1" applyBorder="1" applyAlignment="1">
      <alignment horizontal="left"/>
    </xf>
    <xf numFmtId="164" fontId="5" fillId="8" borderId="18" xfId="3" applyFont="1" applyFill="1" applyBorder="1" applyAlignment="1">
      <alignment horizontal="left"/>
    </xf>
    <xf numFmtId="164" fontId="34" fillId="5" borderId="5" xfId="3" applyFont="1" applyFill="1" applyBorder="1" applyAlignment="1">
      <alignment horizontal="left" vertical="center"/>
    </xf>
    <xf numFmtId="164" fontId="34" fillId="5" borderId="6" xfId="3" applyFont="1" applyFill="1" applyBorder="1" applyAlignment="1">
      <alignment horizontal="left" vertical="center"/>
    </xf>
    <xf numFmtId="164" fontId="34" fillId="5" borderId="43" xfId="3" applyFont="1" applyFill="1" applyBorder="1" applyAlignment="1">
      <alignment horizontal="left" vertical="center"/>
    </xf>
    <xf numFmtId="164" fontId="34" fillId="5" borderId="16" xfId="3" applyFont="1" applyFill="1" applyBorder="1" applyAlignment="1">
      <alignment horizontal="left" vertical="center"/>
    </xf>
    <xf numFmtId="164" fontId="34" fillId="5" borderId="17" xfId="3" applyFont="1" applyFill="1" applyBorder="1" applyAlignment="1">
      <alignment horizontal="left" vertical="center"/>
    </xf>
    <xf numFmtId="164" fontId="34" fillId="5" borderId="5" xfId="3" applyFont="1" applyFill="1" applyBorder="1" applyAlignment="1">
      <alignment horizontal="center" vertical="center"/>
    </xf>
    <xf numFmtId="164" fontId="34" fillId="5" borderId="6" xfId="3" applyFont="1" applyFill="1" applyBorder="1" applyAlignment="1">
      <alignment horizontal="center" vertical="center"/>
    </xf>
    <xf numFmtId="164" fontId="34" fillId="5" borderId="43" xfId="3" applyFont="1" applyFill="1" applyBorder="1" applyAlignment="1">
      <alignment horizontal="center" vertical="center"/>
    </xf>
    <xf numFmtId="0" fontId="8" fillId="5" borderId="14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4" fontId="35" fillId="0" borderId="0" xfId="0" applyNumberFormat="1" applyFont="1" applyAlignment="1">
      <alignment horizontal="justify" vertical="top" wrapText="1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164" fontId="4" fillId="0" borderId="14" xfId="3" applyFont="1" applyBorder="1" applyAlignment="1">
      <alignment horizontal="left" vertical="center"/>
    </xf>
    <xf numFmtId="164" fontId="4" fillId="0" borderId="9" xfId="3" applyFont="1" applyBorder="1" applyAlignment="1">
      <alignment horizontal="left" vertical="center"/>
    </xf>
    <xf numFmtId="0" fontId="18" fillId="8" borderId="25" xfId="0" applyFont="1" applyFill="1" applyBorder="1" applyAlignment="1">
      <alignment horizontal="center" vertical="center"/>
    </xf>
    <xf numFmtId="0" fontId="18" fillId="8" borderId="26" xfId="0" applyFont="1" applyFill="1" applyBorder="1" applyAlignment="1">
      <alignment horizontal="center" vertical="center"/>
    </xf>
    <xf numFmtId="0" fontId="18" fillId="8" borderId="27" xfId="0" applyFont="1" applyFill="1" applyBorder="1" applyAlignment="1">
      <alignment horizontal="center" vertical="center"/>
    </xf>
    <xf numFmtId="0" fontId="8" fillId="8" borderId="44" xfId="0" applyFont="1" applyFill="1" applyBorder="1" applyAlignment="1">
      <alignment horizontal="center" vertical="center"/>
    </xf>
    <xf numFmtId="0" fontId="8" fillId="8" borderId="42" xfId="0" applyFont="1" applyFill="1" applyBorder="1" applyAlignment="1">
      <alignment horizontal="center" vertical="center"/>
    </xf>
    <xf numFmtId="0" fontId="8" fillId="8" borderId="45" xfId="0" applyFont="1" applyFill="1" applyBorder="1" applyAlignment="1">
      <alignment horizontal="center" vertical="center"/>
    </xf>
    <xf numFmtId="164" fontId="4" fillId="0" borderId="5" xfId="3" applyFont="1" applyBorder="1" applyAlignment="1">
      <alignment horizontal="center" vertical="center"/>
    </xf>
    <xf numFmtId="164" fontId="4" fillId="0" borderId="6" xfId="3" applyFont="1" applyBorder="1" applyAlignment="1">
      <alignment horizontal="center" vertical="center"/>
    </xf>
    <xf numFmtId="164" fontId="4" fillId="0" borderId="43" xfId="3" applyFont="1" applyBorder="1" applyAlignment="1">
      <alignment horizontal="center" vertical="center"/>
    </xf>
    <xf numFmtId="164" fontId="5" fillId="8" borderId="5" xfId="3" applyFont="1" applyFill="1" applyBorder="1" applyAlignment="1">
      <alignment horizontal="center" vertical="center"/>
    </xf>
    <xf numFmtId="164" fontId="5" fillId="8" borderId="6" xfId="3" applyFont="1" applyFill="1" applyBorder="1" applyAlignment="1">
      <alignment horizontal="center" vertical="center"/>
    </xf>
    <xf numFmtId="164" fontId="5" fillId="8" borderId="7" xfId="3" applyFont="1" applyFill="1" applyBorder="1" applyAlignment="1">
      <alignment horizontal="center" vertical="center"/>
    </xf>
    <xf numFmtId="0" fontId="18" fillId="8" borderId="21" xfId="0" applyFont="1" applyFill="1" applyBorder="1" applyAlignment="1">
      <alignment horizontal="center" vertical="center"/>
    </xf>
    <xf numFmtId="0" fontId="18" fillId="8" borderId="22" xfId="0" applyFont="1" applyFill="1" applyBorder="1" applyAlignment="1">
      <alignment horizontal="center" vertical="center"/>
    </xf>
    <xf numFmtId="0" fontId="18" fillId="8" borderId="12" xfId="0" applyFont="1" applyFill="1" applyBorder="1" applyAlignment="1">
      <alignment horizontal="center" vertical="center"/>
    </xf>
    <xf numFmtId="0" fontId="18" fillId="10" borderId="19" xfId="0" applyFont="1" applyFill="1" applyBorder="1" applyAlignment="1">
      <alignment horizontal="center"/>
    </xf>
    <xf numFmtId="0" fontId="18" fillId="10" borderId="46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9" fontId="8" fillId="0" borderId="21" xfId="2" applyFont="1" applyBorder="1" applyAlignment="1">
      <alignment horizontal="center"/>
    </xf>
    <xf numFmtId="9" fontId="8" fillId="0" borderId="22" xfId="2" applyFont="1" applyBorder="1" applyAlignment="1">
      <alignment horizontal="center"/>
    </xf>
    <xf numFmtId="9" fontId="8" fillId="0" borderId="12" xfId="2" applyFont="1" applyBorder="1" applyAlignment="1">
      <alignment horizontal="center"/>
    </xf>
    <xf numFmtId="0" fontId="5" fillId="10" borderId="25" xfId="0" applyFont="1" applyFill="1" applyBorder="1" applyAlignment="1">
      <alignment horizontal="center" vertical="center"/>
    </xf>
    <xf numFmtId="0" fontId="5" fillId="10" borderId="26" xfId="0" applyFont="1" applyFill="1" applyBorder="1" applyAlignment="1">
      <alignment horizontal="center" vertical="center"/>
    </xf>
    <xf numFmtId="0" fontId="5" fillId="10" borderId="27" xfId="0" applyFont="1" applyFill="1" applyBorder="1" applyAlignment="1">
      <alignment horizontal="center" vertical="center"/>
    </xf>
    <xf numFmtId="0" fontId="5" fillId="10" borderId="5" xfId="0" applyFont="1" applyFill="1" applyBorder="1" applyAlignment="1">
      <alignment horizontal="center" vertical="center"/>
    </xf>
    <xf numFmtId="0" fontId="5" fillId="10" borderId="6" xfId="0" applyFont="1" applyFill="1" applyBorder="1" applyAlignment="1">
      <alignment horizontal="center" vertical="center"/>
    </xf>
    <xf numFmtId="0" fontId="18" fillId="10" borderId="21" xfId="0" applyFont="1" applyFill="1" applyBorder="1" applyAlignment="1">
      <alignment horizontal="center"/>
    </xf>
    <xf numFmtId="0" fontId="18" fillId="10" borderId="22" xfId="0" applyFont="1" applyFill="1" applyBorder="1" applyAlignment="1">
      <alignment horizontal="center"/>
    </xf>
    <xf numFmtId="0" fontId="18" fillId="10" borderId="12" xfId="0" applyFont="1" applyFill="1" applyBorder="1" applyAlignment="1">
      <alignment horizontal="center"/>
    </xf>
  </cellXfs>
  <cellStyles count="8">
    <cellStyle name="Hiperlink" xfId="1" builtinId="8"/>
    <cellStyle name="Moeda" xfId="7" builtinId="4"/>
    <cellStyle name="Moeda 2" xfId="6" xr:uid="{00000000-0005-0000-0000-000002000000}"/>
    <cellStyle name="Normal" xfId="0" builtinId="0"/>
    <cellStyle name="Normal 2" xfId="4" xr:uid="{00000000-0005-0000-0000-000004000000}"/>
    <cellStyle name="Normal 3" xfId="5" xr:uid="{00000000-0005-0000-0000-000005000000}"/>
    <cellStyle name="Porcentagem" xfId="2" builtinId="5"/>
    <cellStyle name="Vírgula" xfId="3" builtinId="3"/>
  </cellStyles>
  <dxfs count="6">
    <dxf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4</xdr:row>
      <xdr:rowOff>28575</xdr:rowOff>
    </xdr:from>
    <xdr:to>
      <xdr:col>0</xdr:col>
      <xdr:colOff>1419225</xdr:colOff>
      <xdr:row>6</xdr:row>
      <xdr:rowOff>66675</xdr:rowOff>
    </xdr:to>
    <xdr:pic>
      <xdr:nvPicPr>
        <xdr:cNvPr id="6506" name="Picture 2">
          <a:extLst>
            <a:ext uri="{FF2B5EF4-FFF2-40B4-BE49-F238E27FC236}">
              <a16:creationId xmlns:a16="http://schemas.microsoft.com/office/drawing/2014/main" id="{00000000-0008-0000-0600-00006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419100"/>
          <a:ext cx="12858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7</xdr:row>
      <xdr:rowOff>9525</xdr:rowOff>
    </xdr:from>
    <xdr:to>
      <xdr:col>0</xdr:col>
      <xdr:colOff>2124075</xdr:colOff>
      <xdr:row>9</xdr:row>
      <xdr:rowOff>57150</xdr:rowOff>
    </xdr:to>
    <xdr:pic>
      <xdr:nvPicPr>
        <xdr:cNvPr id="6507" name="Picture 1">
          <a:extLst>
            <a:ext uri="{FF2B5EF4-FFF2-40B4-BE49-F238E27FC236}">
              <a16:creationId xmlns:a16="http://schemas.microsoft.com/office/drawing/2014/main" id="{00000000-0008-0000-0600-00006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885825"/>
          <a:ext cx="203835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Natuur/Projetos/Munic%20Rondinha%20-%20TRef%20Coleta%20RSD/Etapa%201%20-%20Analise%20Melhor%20Alternativa/Op&#231;&#227;o%20E.5d%20-%20Cons&#243;rcio%20Trindade%20do%20Su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 CAGED"/>
      <sheetName val="0. BDI"/>
      <sheetName val="0. Quantidades"/>
      <sheetName val="0. TABELAS"/>
      <sheetName val="0. DIMENSIONAM"/>
      <sheetName val="1. Coleta Resíduos"/>
      <sheetName val="2.1. Triagem e Aterro"/>
      <sheetName val="2.2. Transporte e Aterro"/>
      <sheetName val="3. RESUMO"/>
      <sheetName val="4. ORÇAM SINTÉTICO"/>
      <sheetName val="9. Enc Sociais"/>
      <sheetName val="9. Depreciação"/>
      <sheetName val="9. Remuneração de capital"/>
    </sheetNames>
    <sheetDataSet>
      <sheetData sheetId="0" refreshError="1"/>
      <sheetData sheetId="1">
        <row r="7">
          <cell r="C7">
            <v>0.13750000000000001</v>
          </cell>
        </row>
        <row r="23">
          <cell r="B23">
            <v>0.27460000000000001</v>
          </cell>
        </row>
        <row r="37">
          <cell r="B37">
            <v>0.1497</v>
          </cell>
        </row>
      </sheetData>
      <sheetData sheetId="2">
        <row r="18">
          <cell r="E18">
            <v>0.32200000000000001</v>
          </cell>
        </row>
        <row r="22">
          <cell r="G22">
            <v>5518</v>
          </cell>
        </row>
      </sheetData>
      <sheetData sheetId="3">
        <row r="6">
          <cell r="C6">
            <v>1320</v>
          </cell>
        </row>
        <row r="9">
          <cell r="B9" t="str">
            <v>TABELAS DENSIDADE RESÍDUOS</v>
          </cell>
        </row>
        <row r="10">
          <cell r="B10" t="str">
            <v>Tipo Equipamento</v>
          </cell>
          <cell r="C10" t="str">
            <v>Densidade Resíduo (kg/m³)</v>
          </cell>
        </row>
        <row r="11">
          <cell r="B11" t="str">
            <v>Caçamba</v>
          </cell>
          <cell r="C11">
            <v>180</v>
          </cell>
        </row>
        <row r="12">
          <cell r="B12" t="str">
            <v>Compactador</v>
          </cell>
          <cell r="C12">
            <v>500</v>
          </cell>
        </row>
        <row r="13">
          <cell r="B13" t="str">
            <v>Gaiola</v>
          </cell>
          <cell r="C13">
            <v>180</v>
          </cell>
        </row>
        <row r="14">
          <cell r="B14" t="str">
            <v>Roll-On</v>
          </cell>
          <cell r="C14">
            <v>250</v>
          </cell>
        </row>
        <row r="15">
          <cell r="F15">
            <v>26</v>
          </cell>
        </row>
        <row r="18">
          <cell r="B18" t="str">
            <v>Limite de carga, em função do PBT, para veículos com compactadores (Tabela TCE) e caçambas (sem fonte de dados)</v>
          </cell>
        </row>
        <row r="19">
          <cell r="B19" t="str">
            <v>Coletor</v>
          </cell>
          <cell r="C19" t="str">
            <v>Capac em Volume (m³)</v>
          </cell>
          <cell r="D19" t="str">
            <v>Chassi
(tons.)</v>
          </cell>
          <cell r="E19" t="str">
            <v>Peso Equipto (tons.)</v>
          </cell>
          <cell r="F19" t="str">
            <v>Peso da Carga cheia (tons.)</v>
          </cell>
          <cell r="G19" t="str">
            <v>Peso Total Carregado (tons.)</v>
          </cell>
          <cell r="H19" t="str">
            <v>Limite PBT (tons.)</v>
          </cell>
          <cell r="I19" t="str">
            <v>Carga Max Admissível (tons.)</v>
          </cell>
          <cell r="J19" t="str">
            <v>Excesso de carga?</v>
          </cell>
        </row>
        <row r="20">
          <cell r="B20" t="str">
            <v>COMPACTADOR - Toco: PBT &lt; 16 t</v>
          </cell>
        </row>
        <row r="21">
          <cell r="B21" t="str">
            <v>Toco Compactador 8 m³</v>
          </cell>
          <cell r="C21">
            <v>8</v>
          </cell>
          <cell r="D21">
            <v>6</v>
          </cell>
          <cell r="E21">
            <v>3.7</v>
          </cell>
          <cell r="F21">
            <v>4</v>
          </cell>
          <cell r="G21">
            <v>13.7</v>
          </cell>
          <cell r="H21">
            <v>16</v>
          </cell>
          <cell r="I21">
            <v>6.3</v>
          </cell>
          <cell r="J21" t="str">
            <v>Não</v>
          </cell>
        </row>
        <row r="22">
          <cell r="B22" t="str">
            <v>Toco Compactador 10 m³</v>
          </cell>
          <cell r="C22">
            <v>10</v>
          </cell>
          <cell r="D22">
            <v>6</v>
          </cell>
          <cell r="E22">
            <v>4.7</v>
          </cell>
          <cell r="F22">
            <v>5</v>
          </cell>
          <cell r="G22">
            <v>15.7</v>
          </cell>
          <cell r="H22">
            <v>16</v>
          </cell>
          <cell r="I22">
            <v>5.3</v>
          </cell>
          <cell r="J22" t="str">
            <v>Não</v>
          </cell>
        </row>
        <row r="23">
          <cell r="B23" t="str">
            <v>Toco Compactador 12 m³</v>
          </cell>
          <cell r="C23">
            <v>12</v>
          </cell>
          <cell r="D23">
            <v>6</v>
          </cell>
          <cell r="E23">
            <v>4.8</v>
          </cell>
          <cell r="F23">
            <v>6</v>
          </cell>
          <cell r="G23">
            <v>16.8</v>
          </cell>
          <cell r="H23">
            <v>16</v>
          </cell>
          <cell r="I23">
            <v>5.2</v>
          </cell>
          <cell r="J23" t="str">
            <v>Sim</v>
          </cell>
        </row>
        <row r="24">
          <cell r="B24" t="str">
            <v>Toco Compactador 15 m³</v>
          </cell>
          <cell r="C24">
            <v>15</v>
          </cell>
          <cell r="D24">
            <v>6</v>
          </cell>
          <cell r="E24">
            <v>5</v>
          </cell>
          <cell r="F24">
            <v>7.5</v>
          </cell>
          <cell r="G24">
            <v>18.5</v>
          </cell>
          <cell r="H24">
            <v>16</v>
          </cell>
          <cell r="I24">
            <v>5</v>
          </cell>
          <cell r="J24" t="str">
            <v>Sim</v>
          </cell>
        </row>
        <row r="26">
          <cell r="B26" t="str">
            <v>COMPACTADOR - Truck: PBT &lt; 23 t</v>
          </cell>
        </row>
        <row r="27">
          <cell r="B27" t="str">
            <v>Truck Compactador 12 m³</v>
          </cell>
          <cell r="C27">
            <v>12</v>
          </cell>
          <cell r="D27">
            <v>7.5</v>
          </cell>
          <cell r="E27">
            <v>4.8</v>
          </cell>
          <cell r="F27">
            <v>6</v>
          </cell>
          <cell r="G27">
            <v>18.3</v>
          </cell>
          <cell r="H27">
            <v>23</v>
          </cell>
          <cell r="I27">
            <v>10.7</v>
          </cell>
          <cell r="J27" t="str">
            <v>Não</v>
          </cell>
        </row>
        <row r="28">
          <cell r="B28" t="str">
            <v>Truck Compactador 15 m³</v>
          </cell>
          <cell r="C28">
            <v>15</v>
          </cell>
          <cell r="D28">
            <v>7.5</v>
          </cell>
          <cell r="E28">
            <v>5</v>
          </cell>
          <cell r="F28">
            <v>7.5</v>
          </cell>
          <cell r="G28">
            <v>20</v>
          </cell>
          <cell r="H28">
            <v>23</v>
          </cell>
          <cell r="I28">
            <v>10.5</v>
          </cell>
          <cell r="J28" t="str">
            <v>Não</v>
          </cell>
        </row>
        <row r="29">
          <cell r="B29" t="str">
            <v>Truck Compactador 19 m³</v>
          </cell>
          <cell r="C29">
            <v>19</v>
          </cell>
          <cell r="D29">
            <v>7.5</v>
          </cell>
          <cell r="E29">
            <v>5.8</v>
          </cell>
          <cell r="F29">
            <v>9.5</v>
          </cell>
          <cell r="G29">
            <v>22.8</v>
          </cell>
          <cell r="H29">
            <v>23</v>
          </cell>
          <cell r="I29">
            <v>9.6999999999999993</v>
          </cell>
          <cell r="J29" t="str">
            <v>Não</v>
          </cell>
        </row>
        <row r="30">
          <cell r="B30" t="str">
            <v>Truck Compactador 21 m³</v>
          </cell>
          <cell r="C30">
            <v>21</v>
          </cell>
          <cell r="D30">
            <v>7.5</v>
          </cell>
          <cell r="E30">
            <v>6</v>
          </cell>
          <cell r="F30">
            <v>10.5</v>
          </cell>
          <cell r="G30">
            <v>24</v>
          </cell>
          <cell r="H30">
            <v>23</v>
          </cell>
          <cell r="I30">
            <v>9.5</v>
          </cell>
          <cell r="J30" t="str">
            <v>Sim</v>
          </cell>
        </row>
        <row r="32">
          <cell r="B32" t="str">
            <v>CAÇAMBA - Toco: PBT &lt; 16 t</v>
          </cell>
        </row>
        <row r="33">
          <cell r="B33" t="str">
            <v>Toco Caçamba 16 m³</v>
          </cell>
          <cell r="C33">
            <v>16</v>
          </cell>
          <cell r="D33">
            <v>6</v>
          </cell>
          <cell r="E33">
            <v>2.8</v>
          </cell>
          <cell r="F33">
            <v>2.9</v>
          </cell>
          <cell r="G33">
            <v>11.7</v>
          </cell>
          <cell r="H33">
            <v>16</v>
          </cell>
          <cell r="I33">
            <v>7.2</v>
          </cell>
          <cell r="J33" t="str">
            <v>Não</v>
          </cell>
        </row>
        <row r="34">
          <cell r="B34" t="str">
            <v>Toco Caçamba 20 m³</v>
          </cell>
          <cell r="C34">
            <v>20</v>
          </cell>
          <cell r="D34">
            <v>6</v>
          </cell>
          <cell r="E34">
            <v>3</v>
          </cell>
          <cell r="F34">
            <v>3.6</v>
          </cell>
          <cell r="G34">
            <v>12.6</v>
          </cell>
          <cell r="H34">
            <v>16</v>
          </cell>
          <cell r="I34">
            <v>7</v>
          </cell>
          <cell r="J34" t="str">
            <v>Não</v>
          </cell>
        </row>
        <row r="36">
          <cell r="B36" t="str">
            <v>CAÇAMBA - Truck: PBT &lt; 23 t</v>
          </cell>
        </row>
        <row r="37">
          <cell r="B37" t="str">
            <v>Truck Caçamba 20 m³</v>
          </cell>
          <cell r="C37">
            <v>20</v>
          </cell>
          <cell r="D37">
            <v>7.5</v>
          </cell>
          <cell r="E37">
            <v>3</v>
          </cell>
          <cell r="F37">
            <v>3.6</v>
          </cell>
          <cell r="G37">
            <v>14.1</v>
          </cell>
          <cell r="H37">
            <v>23</v>
          </cell>
          <cell r="I37">
            <v>12.5</v>
          </cell>
          <cell r="J37" t="str">
            <v>Não</v>
          </cell>
        </row>
        <row r="38">
          <cell r="B38" t="str">
            <v>Truck Caçamba 22 m³</v>
          </cell>
          <cell r="C38">
            <v>22</v>
          </cell>
          <cell r="D38">
            <v>7.5</v>
          </cell>
          <cell r="E38">
            <v>3.2</v>
          </cell>
          <cell r="F38">
            <v>4</v>
          </cell>
          <cell r="G38">
            <v>14.7</v>
          </cell>
          <cell r="H38">
            <v>23</v>
          </cell>
          <cell r="I38">
            <v>12.3</v>
          </cell>
          <cell r="J38" t="str">
            <v>Não</v>
          </cell>
        </row>
        <row r="39">
          <cell r="B39" t="str">
            <v>Truck Caçamba 26 m³</v>
          </cell>
          <cell r="C39">
            <v>26</v>
          </cell>
          <cell r="D39">
            <v>7.5</v>
          </cell>
          <cell r="E39">
            <v>4</v>
          </cell>
          <cell r="F39">
            <v>4.7</v>
          </cell>
          <cell r="G39">
            <v>16.2</v>
          </cell>
          <cell r="H39">
            <v>23</v>
          </cell>
          <cell r="I39">
            <v>11.5</v>
          </cell>
          <cell r="J39" t="str">
            <v>Não</v>
          </cell>
        </row>
        <row r="41">
          <cell r="B41" t="str">
            <v>Truck - ROLL-ON / OFF: PBT &lt; 23 t</v>
          </cell>
        </row>
        <row r="42">
          <cell r="B42" t="str">
            <v>Truck Roll-On 26 m³</v>
          </cell>
          <cell r="C42">
            <v>26</v>
          </cell>
          <cell r="D42">
            <v>7.5</v>
          </cell>
          <cell r="E42">
            <v>5</v>
          </cell>
          <cell r="F42">
            <v>4.7</v>
          </cell>
          <cell r="G42">
            <v>17.2</v>
          </cell>
          <cell r="H42">
            <v>23</v>
          </cell>
          <cell r="I42">
            <v>10.5</v>
          </cell>
          <cell r="J42" t="str">
            <v>Não</v>
          </cell>
        </row>
        <row r="45">
          <cell r="B45" t="str">
            <v>Carreta ROLL-ON: PBT &lt; ??? t</v>
          </cell>
        </row>
        <row r="55">
          <cell r="B55" t="str">
            <v>TABELA CONSUMO VEÍCULOS E MÁQUINAS</v>
          </cell>
        </row>
        <row r="56">
          <cell r="C56" t="str">
            <v>Operação =&gt;</v>
          </cell>
          <cell r="D56" t="str">
            <v>Coleta Orgânicos</v>
          </cell>
          <cell r="F56" t="str">
            <v>Coleta Recicláveis</v>
          </cell>
          <cell r="H56" t="str">
            <v>Triagem / Transbordo</v>
          </cell>
          <cell r="J56" t="str">
            <v>Destino final / Transporte</v>
          </cell>
          <cell r="L56" t="str">
            <v>Caminhão do Município</v>
          </cell>
        </row>
        <row r="57">
          <cell r="B57" t="str">
            <v>Se trocar veículo, rever dados:</v>
          </cell>
          <cell r="C57" t="str">
            <v>Veículo =&gt;</v>
          </cell>
          <cell r="D57" t="str">
            <v>Caminhão Toco Compactador 12 m³</v>
          </cell>
          <cell r="F57" t="str">
            <v>Caminhão Toco Caçamba 32 m³</v>
          </cell>
          <cell r="H57" t="str">
            <v>Carregadeira</v>
          </cell>
          <cell r="J57" t="str">
            <v>Truck Roll-On 26 m³</v>
          </cell>
          <cell r="L57" t="str">
            <v>Caminhão Ford F-14000 Caçamba</v>
          </cell>
        </row>
        <row r="58">
          <cell r="B58" t="str">
            <v>Item de consumo</v>
          </cell>
          <cell r="C58" t="str">
            <v>Unidade</v>
          </cell>
          <cell r="D58" t="str">
            <v>Consumo (und. indicada)</v>
          </cell>
          <cell r="E58" t="str">
            <v>Preço unitário (R$/Litro ou Kg)</v>
          </cell>
          <cell r="F58" t="str">
            <v>Consumo (und. indicada)</v>
          </cell>
          <cell r="G58" t="str">
            <v>Preço unitário (R$/Litro ou Kg)</v>
          </cell>
          <cell r="H58" t="str">
            <v>Consumo (und. indicada)</v>
          </cell>
          <cell r="I58" t="str">
            <v>Preço unitário (R$/Litro ou Kg)</v>
          </cell>
          <cell r="J58" t="str">
            <v>Consumo (und. indicada)</v>
          </cell>
          <cell r="K58" t="str">
            <v>Preço unitário (R$/Litro ou Kg)</v>
          </cell>
          <cell r="L58" t="str">
            <v>Consumo (und. indicada)</v>
          </cell>
          <cell r="M58" t="str">
            <v>Preço unitário (R$/Litro ou Kg)</v>
          </cell>
        </row>
        <row r="59">
          <cell r="B59" t="str">
            <v>Custo de óleo diesel</v>
          </cell>
          <cell r="C59" t="str">
            <v>km/L*</v>
          </cell>
          <cell r="D59">
            <v>2.5</v>
          </cell>
          <cell r="E59">
            <v>4.37</v>
          </cell>
          <cell r="F59">
            <v>2.2999999999999998</v>
          </cell>
          <cell r="G59">
            <v>4.37</v>
          </cell>
          <cell r="H59">
            <v>8</v>
          </cell>
          <cell r="I59">
            <v>4.37</v>
          </cell>
          <cell r="J59">
            <v>3</v>
          </cell>
          <cell r="K59">
            <v>4.37</v>
          </cell>
          <cell r="L59">
            <v>2.2999999999999998</v>
          </cell>
          <cell r="M59">
            <v>4.37</v>
          </cell>
        </row>
        <row r="60">
          <cell r="B60" t="str">
            <v>Custo de óleo do motor</v>
          </cell>
          <cell r="C60" t="str">
            <v>L/1.000 km</v>
          </cell>
          <cell r="D60">
            <v>4.91</v>
          </cell>
          <cell r="E60">
            <v>16.5</v>
          </cell>
          <cell r="F60">
            <v>4.91</v>
          </cell>
          <cell r="G60">
            <v>16.5</v>
          </cell>
          <cell r="H60">
            <v>6</v>
          </cell>
          <cell r="I60">
            <v>16.5</v>
          </cell>
          <cell r="J60">
            <v>1.22</v>
          </cell>
          <cell r="K60">
            <v>16.5</v>
          </cell>
          <cell r="L60">
            <v>4.91</v>
          </cell>
          <cell r="M60">
            <v>16.5</v>
          </cell>
        </row>
        <row r="61">
          <cell r="B61" t="str">
            <v>Custo de óleo da transmissão</v>
          </cell>
          <cell r="C61" t="str">
            <v>L/1.000 km</v>
          </cell>
          <cell r="D61">
            <v>0.73</v>
          </cell>
          <cell r="E61">
            <v>12.8</v>
          </cell>
          <cell r="F61">
            <v>0.73</v>
          </cell>
          <cell r="G61">
            <v>12.8</v>
          </cell>
          <cell r="H61">
            <v>12</v>
          </cell>
          <cell r="I61">
            <v>13.25</v>
          </cell>
          <cell r="J61">
            <v>0.44</v>
          </cell>
          <cell r="K61">
            <v>12.8</v>
          </cell>
          <cell r="L61">
            <v>0.73</v>
          </cell>
          <cell r="M61">
            <v>12.8</v>
          </cell>
        </row>
        <row r="62">
          <cell r="B62" t="str">
            <v>Custo de óleo hidráulico</v>
          </cell>
          <cell r="C62" t="str">
            <v>L/1.000 km</v>
          </cell>
          <cell r="D62">
            <v>3.67</v>
          </cell>
          <cell r="E62">
            <v>9.3000000000000007</v>
          </cell>
          <cell r="F62">
            <v>3.67</v>
          </cell>
          <cell r="G62">
            <v>9.3000000000000007</v>
          </cell>
          <cell r="H62">
            <v>18</v>
          </cell>
          <cell r="I62">
            <v>9.3000000000000007</v>
          </cell>
          <cell r="J62">
            <v>5.5</v>
          </cell>
          <cell r="K62">
            <v>9.3000000000000007</v>
          </cell>
          <cell r="L62">
            <v>3.67</v>
          </cell>
          <cell r="M62">
            <v>9.3000000000000007</v>
          </cell>
        </row>
        <row r="63">
          <cell r="B63" t="str">
            <v>Custo de graxa</v>
          </cell>
          <cell r="C63" t="str">
            <v>kg/1.000 km</v>
          </cell>
          <cell r="D63">
            <v>2</v>
          </cell>
          <cell r="E63">
            <v>21.64</v>
          </cell>
          <cell r="F63">
            <v>2</v>
          </cell>
          <cell r="G63">
            <v>21.64</v>
          </cell>
          <cell r="H63">
            <v>4</v>
          </cell>
          <cell r="I63">
            <v>21.64</v>
          </cell>
          <cell r="J63">
            <v>2</v>
          </cell>
          <cell r="K63">
            <v>21.64</v>
          </cell>
          <cell r="L63">
            <v>2</v>
          </cell>
          <cell r="M63">
            <v>21.64</v>
          </cell>
        </row>
        <row r="64">
          <cell r="B64" t="str">
            <v>Custo de manutenção dos veículos</v>
          </cell>
          <cell r="C64" t="str">
            <v>R$/km**</v>
          </cell>
          <cell r="D64" t="str">
            <v>–</v>
          </cell>
          <cell r="E64">
            <v>1.1000000000000001</v>
          </cell>
          <cell r="F64" t="str">
            <v>–</v>
          </cell>
          <cell r="G64">
            <v>1.1000000000000001</v>
          </cell>
          <cell r="H64" t="str">
            <v>–</v>
          </cell>
          <cell r="I64">
            <v>1.25</v>
          </cell>
          <cell r="J64" t="str">
            <v>–</v>
          </cell>
          <cell r="K64">
            <v>0.52</v>
          </cell>
          <cell r="L64" t="str">
            <v>–</v>
          </cell>
          <cell r="M64">
            <v>1.1000000000000001</v>
          </cell>
        </row>
        <row r="65">
          <cell r="B65" t="str">
            <v>Consumo de pneus:</v>
          </cell>
        </row>
        <row r="66">
          <cell r="B66" t="str">
            <v>Nº de pneus / veículo</v>
          </cell>
          <cell r="C66" t="str">
            <v>Unidade</v>
          </cell>
          <cell r="D66">
            <v>6</v>
          </cell>
          <cell r="F66">
            <v>6</v>
          </cell>
          <cell r="H66" t="str">
            <v>Preencher na própria planilha/tabela da Triagem</v>
          </cell>
          <cell r="J66">
            <v>22</v>
          </cell>
          <cell r="L66">
            <v>6</v>
          </cell>
        </row>
        <row r="67">
          <cell r="B67" t="str">
            <v>Dimensões do pneu</v>
          </cell>
          <cell r="C67" t="str">
            <v>–</v>
          </cell>
          <cell r="D67" t="str">
            <v>275/80 R22.5</v>
          </cell>
          <cell r="F67" t="str">
            <v>275/80 R22.5</v>
          </cell>
          <cell r="J67" t="str">
            <v>275/80 R22.5</v>
          </cell>
          <cell r="L67" t="str">
            <v>275/80 R22.5</v>
          </cell>
        </row>
        <row r="68">
          <cell r="B68" t="str">
            <v>Valor unitário aquisição pneu novo</v>
          </cell>
          <cell r="C68" t="str">
            <v>R$/unid.</v>
          </cell>
          <cell r="E68">
            <v>2190</v>
          </cell>
          <cell r="G68">
            <v>2190</v>
          </cell>
          <cell r="K68">
            <v>2190</v>
          </cell>
          <cell r="M68">
            <v>2190</v>
          </cell>
        </row>
        <row r="69">
          <cell r="B69" t="str">
            <v>Nº de recapagens por pneu</v>
          </cell>
          <cell r="C69" t="str">
            <v>Unidade</v>
          </cell>
          <cell r="D69">
            <v>1</v>
          </cell>
          <cell r="F69">
            <v>1</v>
          </cell>
          <cell r="J69">
            <v>1</v>
          </cell>
          <cell r="L69">
            <v>1</v>
          </cell>
        </row>
        <row r="70">
          <cell r="B70" t="str">
            <v>Custo unitário da recapagem</v>
          </cell>
          <cell r="C70" t="str">
            <v>R$/unid.</v>
          </cell>
          <cell r="E70">
            <v>790</v>
          </cell>
          <cell r="G70">
            <v>790</v>
          </cell>
          <cell r="K70">
            <v>790</v>
          </cell>
          <cell r="M70">
            <v>790</v>
          </cell>
        </row>
        <row r="71">
          <cell r="B71" t="str">
            <v>Rodagem total do jogo pneus + recap.</v>
          </cell>
          <cell r="C71" t="str">
            <v>km</v>
          </cell>
          <cell r="D71">
            <v>80000</v>
          </cell>
          <cell r="F71">
            <v>80000</v>
          </cell>
          <cell r="J71">
            <v>100000</v>
          </cell>
          <cell r="L71">
            <v>80000</v>
          </cell>
        </row>
        <row r="72">
          <cell r="B72" t="str">
            <v>Monitoramento da frota:</v>
          </cell>
        </row>
        <row r="73">
          <cell r="B73" t="str">
            <v>Instalação equipto. monitoramento</v>
          </cell>
          <cell r="C73" t="str">
            <v>R$/unid.</v>
          </cell>
          <cell r="E73">
            <v>350</v>
          </cell>
          <cell r="G73">
            <v>350</v>
          </cell>
          <cell r="H73">
            <v>0</v>
          </cell>
          <cell r="I73">
            <v>0</v>
          </cell>
          <cell r="K73">
            <v>350</v>
          </cell>
          <cell r="M73">
            <v>350</v>
          </cell>
        </row>
        <row r="74">
          <cell r="B74" t="str">
            <v>Manutenção equipto. monitoramento</v>
          </cell>
          <cell r="C74" t="str">
            <v>R$/mês</v>
          </cell>
          <cell r="E74">
            <v>150</v>
          </cell>
          <cell r="G74">
            <v>150</v>
          </cell>
          <cell r="H74">
            <v>0</v>
          </cell>
          <cell r="I74">
            <v>0</v>
          </cell>
          <cell r="K74">
            <v>150</v>
          </cell>
          <cell r="M74">
            <v>150</v>
          </cell>
        </row>
        <row r="79">
          <cell r="B79" t="str">
            <v>TABELA DE UNIFORMES E EPI'S POR CATEGORIA</v>
          </cell>
        </row>
        <row r="80">
          <cell r="B80" t="str">
            <v>Descrição</v>
          </cell>
          <cell r="C80" t="str">
            <v>Unidade</v>
          </cell>
          <cell r="D80" t="str">
            <v>Durabilidade (meses)</v>
          </cell>
          <cell r="E80" t="str">
            <v>Custo unitário</v>
          </cell>
        </row>
        <row r="81">
          <cell r="B81" t="str">
            <v>Jaqueta com reflexivo (NBR 15.292)</v>
          </cell>
          <cell r="C81" t="str">
            <v>unidade</v>
          </cell>
          <cell r="D81">
            <v>12</v>
          </cell>
          <cell r="E81">
            <v>294.5</v>
          </cell>
        </row>
        <row r="82">
          <cell r="B82" t="str">
            <v>Calça</v>
          </cell>
          <cell r="C82" t="str">
            <v>unidade</v>
          </cell>
          <cell r="D82">
            <v>3</v>
          </cell>
          <cell r="E82">
            <v>90</v>
          </cell>
        </row>
        <row r="83">
          <cell r="B83" t="str">
            <v>Camiseta</v>
          </cell>
          <cell r="C83" t="str">
            <v>unidade</v>
          </cell>
          <cell r="D83">
            <v>3</v>
          </cell>
          <cell r="E83">
            <v>49</v>
          </cell>
        </row>
        <row r="84">
          <cell r="B84" t="str">
            <v>Chapéu com proteção de pescoço</v>
          </cell>
          <cell r="C84" t="str">
            <v>unidade</v>
          </cell>
          <cell r="D84">
            <v>3</v>
          </cell>
          <cell r="E84">
            <v>18.899999999999999</v>
          </cell>
        </row>
        <row r="85">
          <cell r="B85" t="str">
            <v>Botina de segurança c/ palmilha aço</v>
          </cell>
          <cell r="C85" t="str">
            <v>par</v>
          </cell>
          <cell r="D85">
            <v>3</v>
          </cell>
          <cell r="E85">
            <v>129</v>
          </cell>
        </row>
        <row r="86">
          <cell r="B86" t="str">
            <v>Meia de algodão com cano alto</v>
          </cell>
          <cell r="C86" t="str">
            <v>par</v>
          </cell>
          <cell r="D86">
            <v>3</v>
          </cell>
          <cell r="E86">
            <v>12.9</v>
          </cell>
        </row>
        <row r="87">
          <cell r="B87" t="str">
            <v>Capa de chuva amarela com reflexivo</v>
          </cell>
          <cell r="C87" t="str">
            <v>unidade</v>
          </cell>
          <cell r="D87">
            <v>6</v>
          </cell>
          <cell r="E87">
            <v>219</v>
          </cell>
        </row>
        <row r="88">
          <cell r="B88" t="str">
            <v>Colete reflexivo</v>
          </cell>
          <cell r="C88" t="str">
            <v>unidade</v>
          </cell>
          <cell r="D88">
            <v>6</v>
          </cell>
          <cell r="E88">
            <v>39</v>
          </cell>
        </row>
        <row r="89">
          <cell r="B89" t="str">
            <v>Luva de proteção</v>
          </cell>
          <cell r="C89" t="str">
            <v>par</v>
          </cell>
          <cell r="D89">
            <v>1</v>
          </cell>
          <cell r="E89">
            <v>14</v>
          </cell>
        </row>
        <row r="90">
          <cell r="B90" t="str">
            <v>Protetor solar FPS 30</v>
          </cell>
          <cell r="C90" t="str">
            <v>frasco 120g</v>
          </cell>
          <cell r="D90">
            <v>2</v>
          </cell>
          <cell r="E90">
            <v>16.899999999999999</v>
          </cell>
        </row>
        <row r="91">
          <cell r="B91" t="str">
            <v>Higienização de uniformes e EPIs</v>
          </cell>
          <cell r="C91" t="str">
            <v>R$ mensal</v>
          </cell>
          <cell r="D91">
            <v>1</v>
          </cell>
          <cell r="E91">
            <v>260</v>
          </cell>
        </row>
        <row r="96">
          <cell r="B96" t="str">
            <v>TABELA FERRAMENTAS E MATERIAIS DE CONSUMO</v>
          </cell>
        </row>
        <row r="97">
          <cell r="B97" t="str">
            <v>Descrição</v>
          </cell>
          <cell r="C97" t="str">
            <v>Unidade</v>
          </cell>
          <cell r="D97" t="str">
            <v>Durabilidade (meses)</v>
          </cell>
          <cell r="E97" t="str">
            <v>Custo unitário</v>
          </cell>
        </row>
        <row r="98">
          <cell r="B98" t="str">
            <v>Recipiente térmico para água (5L)</v>
          </cell>
          <cell r="C98" t="str">
            <v>Unidade</v>
          </cell>
          <cell r="D98">
            <v>6</v>
          </cell>
          <cell r="E98">
            <v>49.9</v>
          </cell>
        </row>
        <row r="99">
          <cell r="B99" t="str">
            <v>Pá de Concha</v>
          </cell>
          <cell r="C99" t="str">
            <v>Unidade</v>
          </cell>
          <cell r="D99">
            <v>4</v>
          </cell>
          <cell r="E99">
            <v>39.9</v>
          </cell>
        </row>
        <row r="100">
          <cell r="B100" t="str">
            <v>Vassoura</v>
          </cell>
          <cell r="C100" t="str">
            <v>Unidade</v>
          </cell>
          <cell r="D100">
            <v>6</v>
          </cell>
          <cell r="E100">
            <v>21.9</v>
          </cell>
        </row>
        <row r="101">
          <cell r="B101" t="str">
            <v>Vassourão</v>
          </cell>
          <cell r="C101" t="str">
            <v>Unidade</v>
          </cell>
          <cell r="D101">
            <v>3</v>
          </cell>
          <cell r="E101">
            <v>29.9</v>
          </cell>
        </row>
        <row r="102">
          <cell r="B102" t="str">
            <v xml:space="preserve">Ferramentas </v>
          </cell>
          <cell r="C102" t="str">
            <v>Conjunto</v>
          </cell>
          <cell r="D102">
            <v>12</v>
          </cell>
          <cell r="E102">
            <v>150</v>
          </cell>
        </row>
        <row r="103">
          <cell r="B103" t="str">
            <v>Descrição</v>
          </cell>
          <cell r="C103" t="str">
            <v>Unidade</v>
          </cell>
          <cell r="D103" t="str">
            <v>Qtde consumo mensal</v>
          </cell>
          <cell r="E103" t="str">
            <v>Custo unitário</v>
          </cell>
        </row>
        <row r="104">
          <cell r="B104" t="str">
            <v xml:space="preserve">Arrame recozido para fardo </v>
          </cell>
          <cell r="C104" t="str">
            <v>Kg</v>
          </cell>
          <cell r="D104">
            <v>50</v>
          </cell>
          <cell r="E104">
            <v>13.9</v>
          </cell>
        </row>
        <row r="105">
          <cell r="B105" t="str">
            <v xml:space="preserve">Material de limpeza/controle de pragas </v>
          </cell>
          <cell r="C105" t="str">
            <v>Conjunto</v>
          </cell>
          <cell r="D105">
            <v>1</v>
          </cell>
          <cell r="E105">
            <v>190</v>
          </cell>
        </row>
      </sheetData>
      <sheetData sheetId="4" refreshError="1"/>
      <sheetData sheetId="5">
        <row r="4">
          <cell r="A4" t="str">
            <v>VALORES DA CONTRATADA - A LICITAR</v>
          </cell>
        </row>
        <row r="5">
          <cell r="A5" t="str">
            <v>Descrição do Item</v>
          </cell>
          <cell r="E5" t="str">
            <v>Custo (R$/mês)</v>
          </cell>
          <cell r="F5" t="str">
            <v>%</v>
          </cell>
        </row>
        <row r="6">
          <cell r="A6" t="str">
            <v>1. Mão-de-obra</v>
          </cell>
          <cell r="E6">
            <v>11302.69</v>
          </cell>
          <cell r="F6">
            <v>0.28989999999999999</v>
          </cell>
        </row>
        <row r="7">
          <cell r="A7" t="str">
            <v>1.1. Coletor de Resíduos</v>
          </cell>
          <cell r="E7">
            <v>6521.94</v>
          </cell>
          <cell r="F7">
            <v>0.1673</v>
          </cell>
        </row>
        <row r="8">
          <cell r="A8" t="str">
            <v>1.2. Motorista de Caminhão</v>
          </cell>
          <cell r="E8">
            <v>3753.94</v>
          </cell>
          <cell r="F8">
            <v>9.6299999999999997E-2</v>
          </cell>
        </row>
        <row r="9">
          <cell r="A9" t="str">
            <v>1.3. Vale Transporte</v>
          </cell>
          <cell r="E9">
            <v>0</v>
          </cell>
          <cell r="F9">
            <v>0</v>
          </cell>
        </row>
        <row r="10">
          <cell r="A10" t="str">
            <v>1.4. Vale-refeição (diário)</v>
          </cell>
          <cell r="E10">
            <v>784.08</v>
          </cell>
          <cell r="F10">
            <v>2.01E-2</v>
          </cell>
        </row>
        <row r="11">
          <cell r="A11" t="str">
            <v>1.5. Auxílio Alimentação (mensal)</v>
          </cell>
          <cell r="E11">
            <v>242.73</v>
          </cell>
          <cell r="F11">
            <v>6.1999999999999998E-3</v>
          </cell>
        </row>
        <row r="12">
          <cell r="A12" t="str">
            <v>2. Uniformes e Equipamentos de Proteção Individual</v>
          </cell>
          <cell r="E12">
            <v>1066.93</v>
          </cell>
          <cell r="F12">
            <v>2.7400000000000001E-2</v>
          </cell>
        </row>
        <row r="13">
          <cell r="A13" t="str">
            <v>3. Veículos e Equipamentos</v>
          </cell>
          <cell r="E13">
            <v>18198.43</v>
          </cell>
          <cell r="F13">
            <v>0.4667</v>
          </cell>
        </row>
        <row r="14">
          <cell r="A14" t="str">
            <v>3.1. Coleta Orgânicos - Veículo:  Caminhão Toco Compactador 12 m³</v>
          </cell>
          <cell r="E14">
            <v>12861.92</v>
          </cell>
          <cell r="F14">
            <v>0.32990000000000003</v>
          </cell>
        </row>
        <row r="15">
          <cell r="A15" t="str">
            <v>3.1.1. Depreciação</v>
          </cell>
          <cell r="E15">
            <v>2096.73</v>
          </cell>
          <cell r="F15">
            <v>5.3800000000000001E-2</v>
          </cell>
        </row>
        <row r="16">
          <cell r="A16" t="str">
            <v>3.1.2. Remuneração do Capital</v>
          </cell>
          <cell r="E16">
            <v>3125.78</v>
          </cell>
          <cell r="F16">
            <v>8.0199999999999994E-2</v>
          </cell>
        </row>
        <row r="17">
          <cell r="A17" t="str">
            <v>3.1.3. Impostos e Seguros</v>
          </cell>
          <cell r="E17">
            <v>250.94</v>
          </cell>
          <cell r="F17">
            <v>6.4000000000000003E-3</v>
          </cell>
        </row>
        <row r="18">
          <cell r="A18" t="str">
            <v>3.1.4. Consumos</v>
          </cell>
          <cell r="E18">
            <v>4313.75</v>
          </cell>
          <cell r="F18">
            <v>0.1106</v>
          </cell>
        </row>
        <row r="19">
          <cell r="A19" t="str">
            <v>3.1.5. Manutenção</v>
          </cell>
          <cell r="E19">
            <v>2484.35</v>
          </cell>
          <cell r="F19">
            <v>6.3700000000000007E-2</v>
          </cell>
        </row>
        <row r="20">
          <cell r="A20" t="str">
            <v>3.1.6. Pneus</v>
          </cell>
          <cell r="E20">
            <v>496.87</v>
          </cell>
          <cell r="F20">
            <v>1.2699999999999999E-2</v>
          </cell>
        </row>
        <row r="21">
          <cell r="A21" t="str">
            <v>3.1.7. Monitoramento da frota</v>
          </cell>
          <cell r="E21">
            <v>93.5</v>
          </cell>
          <cell r="F21">
            <v>2.3999999999999998E-3</v>
          </cell>
        </row>
        <row r="22">
          <cell r="A22" t="str">
            <v>3.2. Coleta Recicláveis - Veículo:  Caminhão Toco Caçamba 32 m³</v>
          </cell>
          <cell r="E22">
            <v>5336.51</v>
          </cell>
          <cell r="F22">
            <v>0.13689999999999999</v>
          </cell>
        </row>
        <row r="23">
          <cell r="A23" t="str">
            <v>3.2.1. Depreciação</v>
          </cell>
          <cell r="E23">
            <v>708</v>
          </cell>
          <cell r="F23">
            <v>1.8200000000000001E-2</v>
          </cell>
        </row>
        <row r="24">
          <cell r="A24" t="str">
            <v>3.2.2. Remuneração do Capital</v>
          </cell>
          <cell r="E24">
            <v>1055.47</v>
          </cell>
          <cell r="F24">
            <v>2.7099999999999999E-2</v>
          </cell>
        </row>
        <row r="25">
          <cell r="A25" t="str">
            <v>3.2.3. Impostos e Seguros</v>
          </cell>
          <cell r="E25">
            <v>87.45</v>
          </cell>
          <cell r="F25">
            <v>2.2000000000000001E-3</v>
          </cell>
        </row>
        <row r="26">
          <cell r="A26" t="str">
            <v>3.2.4. Consumos</v>
          </cell>
          <cell r="E26">
            <v>2104.5</v>
          </cell>
          <cell r="F26">
            <v>5.3999999999999999E-2</v>
          </cell>
        </row>
        <row r="27">
          <cell r="A27" t="str">
            <v>3.2.5. Manutenção</v>
          </cell>
          <cell r="E27">
            <v>1123.76</v>
          </cell>
          <cell r="F27">
            <v>2.8799999999999999E-2</v>
          </cell>
        </row>
        <row r="28">
          <cell r="A28" t="str">
            <v>3.2.6. Pneus</v>
          </cell>
          <cell r="E28">
            <v>224.75</v>
          </cell>
          <cell r="F28">
            <v>5.7999999999999996E-3</v>
          </cell>
        </row>
        <row r="29">
          <cell r="A29" t="str">
            <v>3.2.7. Monitoramento da frota</v>
          </cell>
          <cell r="E29">
            <v>32.58</v>
          </cell>
          <cell r="F29">
            <v>8.0000000000000004E-4</v>
          </cell>
        </row>
        <row r="30">
          <cell r="A30" t="str">
            <v>4. Ferramentas e Materiais de Consumo</v>
          </cell>
          <cell r="E30">
            <v>21.95</v>
          </cell>
          <cell r="F30">
            <v>5.9999999999999995E-4</v>
          </cell>
        </row>
        <row r="31">
          <cell r="A31" t="str">
            <v>5. Benefícios e Despesas Indiretas - BDI</v>
          </cell>
          <cell r="E31">
            <v>8400.01</v>
          </cell>
          <cell r="F31">
            <v>0.21540000000000001</v>
          </cell>
        </row>
        <row r="32">
          <cell r="A32" t="str">
            <v>PREÇO TOTAL MENSAL COM A COLETA DE RESÍDUOS ORGÂNICOS</v>
          </cell>
          <cell r="E32">
            <v>38990.01</v>
          </cell>
          <cell r="F32">
            <v>1</v>
          </cell>
        </row>
        <row r="34">
          <cell r="A34" t="str">
            <v>VALORES DESPESAS DA PREFEITURA - FORA DA LICITAÇÃO</v>
          </cell>
        </row>
        <row r="35">
          <cell r="A35" t="str">
            <v>1. Mão-de-obra do MUNICÍPIO</v>
          </cell>
          <cell r="E35">
            <v>0</v>
          </cell>
          <cell r="F35">
            <v>0</v>
          </cell>
        </row>
        <row r="36">
          <cell r="A36" t="str">
            <v>1.1. Motorista de Caminhão</v>
          </cell>
          <cell r="E36">
            <v>0</v>
          </cell>
          <cell r="F36">
            <v>0</v>
          </cell>
        </row>
        <row r="37">
          <cell r="A37" t="str">
            <v>1.2. Uniformes e EPI's para demais categorias</v>
          </cell>
          <cell r="E37">
            <v>0</v>
          </cell>
          <cell r="F37">
            <v>0</v>
          </cell>
        </row>
        <row r="38">
          <cell r="A38" t="str">
            <v>2. Veículo do MUNICÍPIO</v>
          </cell>
          <cell r="E38">
            <v>0</v>
          </cell>
          <cell r="F38">
            <v>0</v>
          </cell>
        </row>
        <row r="39">
          <cell r="A39" t="str">
            <v>2.1. Veículo:  Caminhão Ford F-14000 Caçamba</v>
          </cell>
          <cell r="E39">
            <v>0</v>
          </cell>
          <cell r="F39">
            <v>0</v>
          </cell>
        </row>
        <row r="40">
          <cell r="A40" t="str">
            <v>2.1.1. Depreciação</v>
          </cell>
          <cell r="E40">
            <v>0</v>
          </cell>
          <cell r="F40">
            <v>0</v>
          </cell>
        </row>
        <row r="41">
          <cell r="A41" t="str">
            <v>2.1.2. Remuneração do Capital</v>
          </cell>
          <cell r="E41">
            <v>0</v>
          </cell>
          <cell r="F41">
            <v>0</v>
          </cell>
        </row>
        <row r="42">
          <cell r="A42" t="str">
            <v>2.1.3. Impostos e Seguros</v>
          </cell>
          <cell r="E42">
            <v>0</v>
          </cell>
          <cell r="F42">
            <v>0</v>
          </cell>
        </row>
        <row r="43">
          <cell r="A43" t="str">
            <v>2.1.4. Consumos</v>
          </cell>
          <cell r="E43">
            <v>0</v>
          </cell>
          <cell r="F43">
            <v>0</v>
          </cell>
        </row>
        <row r="44">
          <cell r="A44" t="str">
            <v>2.1.5. Manutenção</v>
          </cell>
          <cell r="E44">
            <v>0</v>
          </cell>
          <cell r="F44">
            <v>0</v>
          </cell>
        </row>
        <row r="45">
          <cell r="A45" t="str">
            <v>2.1.6. Pneus</v>
          </cell>
          <cell r="E45">
            <v>0</v>
          </cell>
          <cell r="F45">
            <v>0</v>
          </cell>
        </row>
        <row r="46">
          <cell r="A46" t="str">
            <v>CUSTO TOTAL MENSAL COM A COLETA DE RESÍDUOS ORGÂNICOS (PREFEITURA)</v>
          </cell>
          <cell r="E46">
            <v>0</v>
          </cell>
          <cell r="F46">
            <v>0</v>
          </cell>
        </row>
        <row r="57">
          <cell r="C57">
            <v>1</v>
          </cell>
        </row>
        <row r="58">
          <cell r="C58">
            <v>1</v>
          </cell>
        </row>
        <row r="148">
          <cell r="A148" t="str">
            <v>Caminhão Toco Compactador 12 m³</v>
          </cell>
        </row>
        <row r="232">
          <cell r="A232" t="str">
            <v>Caminhão Toco Caçamba 32 m³</v>
          </cell>
        </row>
        <row r="374">
          <cell r="A374" t="str">
            <v>Caminhão Ford F-14000 Caçamba</v>
          </cell>
        </row>
      </sheetData>
      <sheetData sheetId="6">
        <row r="4">
          <cell r="A4" t="str">
            <v>VALORES DA CONTRATADA - A LICITAR</v>
          </cell>
        </row>
        <row r="5">
          <cell r="A5" t="str">
            <v>Descrição do Item</v>
          </cell>
          <cell r="E5" t="str">
            <v>Custo (R$/mês)</v>
          </cell>
          <cell r="F5" t="str">
            <v>%</v>
          </cell>
        </row>
        <row r="6">
          <cell r="A6" t="str">
            <v>1. Mão-de-obra</v>
          </cell>
          <cell r="E6">
            <v>0</v>
          </cell>
          <cell r="F6">
            <v>0</v>
          </cell>
        </row>
        <row r="7">
          <cell r="A7" t="str">
            <v>1.1. Reciclador de Resíduos Sólidos</v>
          </cell>
          <cell r="E7">
            <v>0</v>
          </cell>
          <cell r="F7">
            <v>0</v>
          </cell>
        </row>
        <row r="8">
          <cell r="A8" t="str">
            <v>1.2. Operador de Máquinas</v>
          </cell>
          <cell r="E8">
            <v>0</v>
          </cell>
          <cell r="F8">
            <v>0</v>
          </cell>
        </row>
        <row r="9">
          <cell r="A9" t="str">
            <v>1.3. Auxiliar de Serviços Gerais</v>
          </cell>
          <cell r="E9">
            <v>0</v>
          </cell>
          <cell r="F9">
            <v>0</v>
          </cell>
        </row>
        <row r="10">
          <cell r="A10" t="str">
            <v>1.4. Supervisor da Central de Triagem</v>
          </cell>
          <cell r="E10">
            <v>0</v>
          </cell>
          <cell r="F10">
            <v>0</v>
          </cell>
        </row>
        <row r="11">
          <cell r="A11" t="str">
            <v>1.5. Vale Transporte</v>
          </cell>
          <cell r="E11">
            <v>0</v>
          </cell>
          <cell r="F11">
            <v>0</v>
          </cell>
        </row>
        <row r="12">
          <cell r="A12" t="str">
            <v>1.6. Vale-refeição (diário)</v>
          </cell>
          <cell r="E12">
            <v>0</v>
          </cell>
          <cell r="F12">
            <v>0</v>
          </cell>
        </row>
        <row r="13">
          <cell r="A13" t="str">
            <v>1.7. Auxílio Alimentação (mensal)</v>
          </cell>
          <cell r="E13">
            <v>0</v>
          </cell>
          <cell r="F13">
            <v>0</v>
          </cell>
        </row>
        <row r="14">
          <cell r="A14" t="str">
            <v>2. Uniformes e Equipamentos de Proteção Individual</v>
          </cell>
          <cell r="E14">
            <v>0</v>
          </cell>
          <cell r="F14">
            <v>0</v>
          </cell>
        </row>
        <row r="15">
          <cell r="A15" t="str">
            <v>3. Veículos e Equipamentos</v>
          </cell>
          <cell r="E15">
            <v>0</v>
          </cell>
          <cell r="F15">
            <v>0</v>
          </cell>
        </row>
        <row r="16">
          <cell r="A16" t="str">
            <v>3.1. Veículo:  Carregadeira</v>
          </cell>
          <cell r="E16">
            <v>0</v>
          </cell>
          <cell r="F16">
            <v>0</v>
          </cell>
        </row>
        <row r="17">
          <cell r="A17" t="str">
            <v>3.1.1. Depreciação</v>
          </cell>
          <cell r="E17">
            <v>0</v>
          </cell>
          <cell r="F17">
            <v>0</v>
          </cell>
        </row>
        <row r="18">
          <cell r="A18" t="str">
            <v>3.1.2. Remuneração do Capital</v>
          </cell>
          <cell r="E18">
            <v>0</v>
          </cell>
          <cell r="F18">
            <v>0</v>
          </cell>
        </row>
        <row r="19">
          <cell r="A19" t="str">
            <v>3.1.3. Impostos e Seguros</v>
          </cell>
          <cell r="E19">
            <v>0</v>
          </cell>
          <cell r="F19">
            <v>0</v>
          </cell>
        </row>
        <row r="20">
          <cell r="A20" t="str">
            <v>3.1.4. Consumos</v>
          </cell>
          <cell r="E20">
            <v>0</v>
          </cell>
          <cell r="F20">
            <v>0</v>
          </cell>
        </row>
        <row r="21">
          <cell r="A21" t="str">
            <v>3.1.5. Manutenção</v>
          </cell>
          <cell r="E21">
            <v>0</v>
          </cell>
          <cell r="F21">
            <v>0</v>
          </cell>
        </row>
        <row r="22">
          <cell r="A22" t="str">
            <v>3.1.6. Pneus</v>
          </cell>
          <cell r="E22">
            <v>0</v>
          </cell>
          <cell r="F22">
            <v>0</v>
          </cell>
        </row>
        <row r="23">
          <cell r="A23" t="str">
            <v>4. Ferramentas e Materiais de Consumo</v>
          </cell>
          <cell r="E23">
            <v>0</v>
          </cell>
          <cell r="F23">
            <v>0</v>
          </cell>
        </row>
        <row r="24">
          <cell r="A24" t="str">
            <v>5. Monitoramento da Frota</v>
          </cell>
          <cell r="E24">
            <v>0</v>
          </cell>
          <cell r="F24">
            <v>0</v>
          </cell>
        </row>
        <row r="25">
          <cell r="A25" t="str">
            <v>6. Venda dos Materiais Recicláveis</v>
          </cell>
          <cell r="E25">
            <v>0</v>
          </cell>
          <cell r="F25">
            <v>0</v>
          </cell>
        </row>
        <row r="26">
          <cell r="A26" t="str">
            <v>7. Custos com Operação da Central de Triagem</v>
          </cell>
          <cell r="E26">
            <v>0</v>
          </cell>
          <cell r="F26">
            <v>0</v>
          </cell>
        </row>
        <row r="27">
          <cell r="A27" t="str">
            <v>7.1. Depreciação das Edificações</v>
          </cell>
          <cell r="E27">
            <v>0</v>
          </cell>
          <cell r="F27">
            <v>0</v>
          </cell>
        </row>
        <row r="28">
          <cell r="A28" t="str">
            <v>7.2. Depreciação dos Equipamentos</v>
          </cell>
          <cell r="E28">
            <v>0</v>
          </cell>
          <cell r="F28">
            <v>0</v>
          </cell>
        </row>
        <row r="29">
          <cell r="A29" t="str">
            <v>7.3. Remuneração do Capital</v>
          </cell>
          <cell r="E29">
            <v>0</v>
          </cell>
          <cell r="F29">
            <v>0</v>
          </cell>
        </row>
        <row r="30">
          <cell r="A30" t="str">
            <v>7.4. Despesas Operacionais Mensais</v>
          </cell>
          <cell r="E30">
            <v>0</v>
          </cell>
          <cell r="F30">
            <v>0</v>
          </cell>
        </row>
        <row r="31">
          <cell r="A31" t="str">
            <v>8. Benefícios e Despesas Indiretas - BDI</v>
          </cell>
          <cell r="E31">
            <v>0</v>
          </cell>
          <cell r="F31">
            <v>0</v>
          </cell>
        </row>
        <row r="32">
          <cell r="A32" t="str">
            <v>PREÇO TOTAL MENSAL COM A ESTAÇÃO DE TRANSBORDO E CENTRAL DE TRIAGEM</v>
          </cell>
          <cell r="E32">
            <v>0</v>
          </cell>
          <cell r="F32">
            <v>0</v>
          </cell>
        </row>
        <row r="34">
          <cell r="A34" t="str">
            <v>VALORES DESPESAS DA PREFEITURA - FORA DA LICITAÇÃO</v>
          </cell>
        </row>
        <row r="35">
          <cell r="A35" t="str">
            <v>1. Mão-de-obra</v>
          </cell>
          <cell r="E35">
            <v>0</v>
          </cell>
          <cell r="F35">
            <v>0</v>
          </cell>
        </row>
        <row r="36">
          <cell r="A36" t="str">
            <v>1.1. Operador de Máquinas</v>
          </cell>
          <cell r="E36">
            <v>0</v>
          </cell>
          <cell r="F36">
            <v>0</v>
          </cell>
        </row>
        <row r="37">
          <cell r="A37" t="str">
            <v>2.2. Uniformes e EPI's todas as categorias</v>
          </cell>
          <cell r="E37">
            <v>0</v>
          </cell>
          <cell r="F37">
            <v>0</v>
          </cell>
        </row>
        <row r="38">
          <cell r="A38" t="str">
            <v>2. Veículos e Equipamentos</v>
          </cell>
          <cell r="E38">
            <v>0</v>
          </cell>
          <cell r="F38">
            <v>0</v>
          </cell>
        </row>
        <row r="39">
          <cell r="A39" t="str">
            <v>2.1. Veículo:  Carregadeira</v>
          </cell>
          <cell r="E39">
            <v>0</v>
          </cell>
          <cell r="F39">
            <v>0</v>
          </cell>
        </row>
        <row r="40">
          <cell r="A40" t="str">
            <v>2.1.1. Depreciação</v>
          </cell>
          <cell r="E40">
            <v>0</v>
          </cell>
          <cell r="F40">
            <v>0</v>
          </cell>
        </row>
        <row r="41">
          <cell r="A41" t="str">
            <v>2.1.2. Remuneração do Capital</v>
          </cell>
          <cell r="E41">
            <v>0</v>
          </cell>
          <cell r="F41">
            <v>0</v>
          </cell>
        </row>
        <row r="42">
          <cell r="A42" t="str">
            <v>2.1.3. Impostos e Seguros</v>
          </cell>
          <cell r="E42">
            <v>0</v>
          </cell>
          <cell r="F42">
            <v>0</v>
          </cell>
        </row>
        <row r="43">
          <cell r="A43" t="str">
            <v>2.1.4. Consumos</v>
          </cell>
          <cell r="E43">
            <v>0</v>
          </cell>
          <cell r="F43">
            <v>0</v>
          </cell>
        </row>
        <row r="44">
          <cell r="A44" t="str">
            <v>2.1.5. Manutenção</v>
          </cell>
          <cell r="E44">
            <v>0</v>
          </cell>
          <cell r="F44">
            <v>0</v>
          </cell>
        </row>
        <row r="45">
          <cell r="A45" t="str">
            <v>2.1.6. Pneus</v>
          </cell>
          <cell r="E45">
            <v>0</v>
          </cell>
          <cell r="F45">
            <v>0</v>
          </cell>
        </row>
        <row r="46">
          <cell r="A46" t="str">
            <v>3. Edificações</v>
          </cell>
          <cell r="E46">
            <v>0</v>
          </cell>
          <cell r="F46">
            <v>0</v>
          </cell>
        </row>
        <row r="47">
          <cell r="A47" t="str">
            <v>3.1. Depreciação das Edificações</v>
          </cell>
          <cell r="E47">
            <v>0</v>
          </cell>
          <cell r="F47">
            <v>0</v>
          </cell>
        </row>
        <row r="48">
          <cell r="A48" t="str">
            <v>3.2. Depreciação dos Equipamentos</v>
          </cell>
          <cell r="E48">
            <v>0</v>
          </cell>
          <cell r="F48">
            <v>0</v>
          </cell>
        </row>
        <row r="49">
          <cell r="A49" t="str">
            <v>3.3. Remuneração do Capital</v>
          </cell>
          <cell r="E49">
            <v>0</v>
          </cell>
          <cell r="F49">
            <v>0</v>
          </cell>
        </row>
        <row r="50">
          <cell r="A50" t="str">
            <v>3.4. Custos com Operação da Central de Triagem</v>
          </cell>
          <cell r="E50">
            <v>0</v>
          </cell>
          <cell r="F50">
            <v>0</v>
          </cell>
        </row>
        <row r="51">
          <cell r="A51" t="str">
            <v>3.5. Despesas com Aluguéis da Central de Triagem</v>
          </cell>
          <cell r="E51">
            <v>0</v>
          </cell>
          <cell r="F51">
            <v>0</v>
          </cell>
        </row>
        <row r="52">
          <cell r="A52" t="str">
            <v>CUSTO TOTAL MENSAL COM A ESTAÇÃO DE TRANSBORDO E CENTRAL DE TRAIGEM (PREFEITURA)</v>
          </cell>
          <cell r="E52">
            <v>0</v>
          </cell>
          <cell r="F52">
            <v>0</v>
          </cell>
        </row>
        <row r="66">
          <cell r="D66">
            <v>1</v>
          </cell>
        </row>
      </sheetData>
      <sheetData sheetId="7">
        <row r="4">
          <cell r="A4" t="str">
            <v>VALORES DA CONTRATADA - A LICITAR</v>
          </cell>
        </row>
        <row r="5">
          <cell r="A5" t="str">
            <v>Descrição do Item</v>
          </cell>
          <cell r="E5" t="str">
            <v>Custo (R$/mês)</v>
          </cell>
          <cell r="F5" t="str">
            <v>%</v>
          </cell>
        </row>
        <row r="6">
          <cell r="A6" t="str">
            <v>1. Mão-de-obra</v>
          </cell>
          <cell r="E6">
            <v>0</v>
          </cell>
          <cell r="F6">
            <v>0</v>
          </cell>
        </row>
        <row r="7">
          <cell r="A7" t="str">
            <v>1.1. Motorista de Caminhão</v>
          </cell>
          <cell r="E7">
            <v>0</v>
          </cell>
          <cell r="F7">
            <v>0</v>
          </cell>
        </row>
        <row r="8">
          <cell r="A8" t="str">
            <v>1.2. Vale Transporte</v>
          </cell>
          <cell r="E8">
            <v>0</v>
          </cell>
          <cell r="F8">
            <v>0</v>
          </cell>
        </row>
        <row r="9">
          <cell r="A9" t="str">
            <v>1.3. Vale-refeição (diário)</v>
          </cell>
          <cell r="E9">
            <v>0</v>
          </cell>
          <cell r="F9">
            <v>0</v>
          </cell>
        </row>
        <row r="10">
          <cell r="A10" t="str">
            <v>1.4. Auxílio Alimentação (mensal)</v>
          </cell>
          <cell r="E10">
            <v>0</v>
          </cell>
          <cell r="F10">
            <v>0</v>
          </cell>
        </row>
        <row r="11">
          <cell r="A11" t="str">
            <v>2. Uniformes e Equipamentos de Proteção Individual</v>
          </cell>
          <cell r="E11">
            <v>0</v>
          </cell>
          <cell r="F11">
            <v>0</v>
          </cell>
        </row>
        <row r="12">
          <cell r="A12" t="str">
            <v>3. Veículos e Equipamentos</v>
          </cell>
          <cell r="E12">
            <v>0</v>
          </cell>
          <cell r="F12">
            <v>0</v>
          </cell>
        </row>
        <row r="13">
          <cell r="A13" t="str">
            <v xml:space="preserve">3.1. Veículo: </v>
          </cell>
          <cell r="E13">
            <v>0</v>
          </cell>
          <cell r="F13">
            <v>0</v>
          </cell>
        </row>
        <row r="14">
          <cell r="A14" t="str">
            <v>3.1.1. Depreciação</v>
          </cell>
          <cell r="E14">
            <v>0</v>
          </cell>
          <cell r="F14">
            <v>0</v>
          </cell>
        </row>
        <row r="15">
          <cell r="A15" t="str">
            <v>3.1.2. Remuneração do Capital</v>
          </cell>
          <cell r="E15">
            <v>0</v>
          </cell>
          <cell r="F15">
            <v>0</v>
          </cell>
        </row>
        <row r="16">
          <cell r="A16" t="str">
            <v>3.1.3. Impostos e Seguros</v>
          </cell>
          <cell r="E16">
            <v>0</v>
          </cell>
          <cell r="F16">
            <v>0</v>
          </cell>
        </row>
        <row r="17">
          <cell r="A17" t="str">
            <v>3.1.4. Consumos</v>
          </cell>
          <cell r="E17">
            <v>0</v>
          </cell>
          <cell r="F17">
            <v>0</v>
          </cell>
        </row>
        <row r="18">
          <cell r="A18" t="str">
            <v>3.1.5. Manutenção</v>
          </cell>
          <cell r="E18">
            <v>0</v>
          </cell>
          <cell r="F18">
            <v>0</v>
          </cell>
        </row>
        <row r="19">
          <cell r="A19" t="str">
            <v>3.1.6. Pneus</v>
          </cell>
          <cell r="E19">
            <v>0</v>
          </cell>
          <cell r="F19">
            <v>0</v>
          </cell>
        </row>
        <row r="20">
          <cell r="A20" t="str">
            <v>4. Ferramentas e Materiais de Consumo</v>
          </cell>
          <cell r="E20">
            <v>0</v>
          </cell>
          <cell r="F20">
            <v>0</v>
          </cell>
        </row>
        <row r="21">
          <cell r="A21" t="str">
            <v>5. Monitoramento da Frota</v>
          </cell>
          <cell r="E21">
            <v>0</v>
          </cell>
          <cell r="F21">
            <v>0</v>
          </cell>
        </row>
        <row r="22">
          <cell r="A22" t="str">
            <v>6. Disposição final no Aterro Sanitário</v>
          </cell>
          <cell r="E22">
            <v>0</v>
          </cell>
          <cell r="F22">
            <v>0</v>
          </cell>
        </row>
        <row r="23">
          <cell r="A23" t="str">
            <v>7. Benefícios e Despesas Indiretas - BDI</v>
          </cell>
          <cell r="E23">
            <v>0</v>
          </cell>
          <cell r="F23">
            <v>0</v>
          </cell>
        </row>
        <row r="24">
          <cell r="A24" t="str">
            <v>PREÇO TOTAL MENSAL COM O DESTINO FINAL</v>
          </cell>
          <cell r="E24">
            <v>0</v>
          </cell>
          <cell r="F24">
            <v>0</v>
          </cell>
        </row>
      </sheetData>
      <sheetData sheetId="8" refreshError="1"/>
      <sheetData sheetId="9" refreshError="1"/>
      <sheetData sheetId="10" refreshError="1"/>
      <sheetData sheetId="11">
        <row r="1">
          <cell r="A1" t="str">
            <v>5. Depreciação Referencial TCE/RS (%)</v>
          </cell>
        </row>
        <row r="2">
          <cell r="A2" t="str">
            <v>Idade do veículo (ano)</v>
          </cell>
          <cell r="B2" t="str">
            <v>Depreciação Média</v>
          </cell>
        </row>
        <row r="3">
          <cell r="A3">
            <v>1</v>
          </cell>
          <cell r="B3">
            <v>33.630000000000003</v>
          </cell>
        </row>
        <row r="4">
          <cell r="A4">
            <v>2</v>
          </cell>
          <cell r="B4">
            <v>43.13</v>
          </cell>
        </row>
        <row r="5">
          <cell r="A5">
            <v>3</v>
          </cell>
          <cell r="B5">
            <v>48.68</v>
          </cell>
        </row>
        <row r="6">
          <cell r="A6">
            <v>4</v>
          </cell>
          <cell r="B6">
            <v>52.62</v>
          </cell>
        </row>
        <row r="7">
          <cell r="A7">
            <v>5</v>
          </cell>
          <cell r="B7">
            <v>55.68</v>
          </cell>
        </row>
        <row r="8">
          <cell r="A8">
            <v>6</v>
          </cell>
          <cell r="B8">
            <v>58.18</v>
          </cell>
        </row>
        <row r="9">
          <cell r="A9">
            <v>7</v>
          </cell>
          <cell r="B9">
            <v>60.29</v>
          </cell>
        </row>
        <row r="10">
          <cell r="A10">
            <v>8</v>
          </cell>
          <cell r="B10">
            <v>62.12</v>
          </cell>
        </row>
        <row r="11">
          <cell r="A11">
            <v>9</v>
          </cell>
          <cell r="B11">
            <v>63.73</v>
          </cell>
        </row>
        <row r="12">
          <cell r="A12">
            <v>10</v>
          </cell>
          <cell r="B12">
            <v>65.180000000000007</v>
          </cell>
        </row>
        <row r="13">
          <cell r="A13">
            <v>11</v>
          </cell>
          <cell r="B13">
            <v>66.48</v>
          </cell>
        </row>
        <row r="14">
          <cell r="A14">
            <v>12</v>
          </cell>
          <cell r="B14">
            <v>67.67</v>
          </cell>
        </row>
        <row r="15">
          <cell r="A15">
            <v>13</v>
          </cell>
          <cell r="B15">
            <v>68.77</v>
          </cell>
        </row>
        <row r="16">
          <cell r="A16">
            <v>14</v>
          </cell>
          <cell r="B16">
            <v>69.790000000000006</v>
          </cell>
        </row>
        <row r="17">
          <cell r="A17">
            <v>15</v>
          </cell>
          <cell r="B17">
            <v>70.73</v>
          </cell>
        </row>
      </sheetData>
      <sheetData sheetId="12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O73"/>
  <sheetViews>
    <sheetView showGridLines="0" tabSelected="1" workbookViewId="0">
      <selection activeCell="C5" sqref="C5:F5"/>
    </sheetView>
  </sheetViews>
  <sheetFormatPr defaultRowHeight="15" x14ac:dyDescent="0.2"/>
  <cols>
    <col min="1" max="1" width="3.7109375" style="265" customWidth="1"/>
    <col min="2" max="2" width="32.28515625" style="265" customWidth="1"/>
    <col min="3" max="5" width="16" style="265" customWidth="1"/>
    <col min="6" max="6" width="17.140625" style="265" customWidth="1"/>
    <col min="7" max="11" width="16" style="265" customWidth="1"/>
    <col min="12" max="12" width="18.5703125" style="265" customWidth="1"/>
    <col min="13" max="17" width="16" style="265" customWidth="1"/>
    <col min="18" max="16384" width="9.140625" style="265"/>
  </cols>
  <sheetData>
    <row r="1" spans="2:13" ht="15.75" thickBot="1" x14ac:dyDescent="0.25"/>
    <row r="2" spans="2:13" ht="16.5" thickBot="1" x14ac:dyDescent="0.3">
      <c r="B2" s="348" t="s">
        <v>332</v>
      </c>
      <c r="C2" s="322"/>
      <c r="D2" s="322"/>
      <c r="E2" s="322"/>
      <c r="F2" s="322"/>
      <c r="G2" s="322"/>
      <c r="H2" s="322"/>
      <c r="I2" s="323"/>
    </row>
    <row r="3" spans="2:13" ht="17.25" customHeight="1" x14ac:dyDescent="0.2">
      <c r="B3" s="266"/>
      <c r="C3" s="267" t="s">
        <v>276</v>
      </c>
      <c r="D3" s="267" t="s">
        <v>277</v>
      </c>
      <c r="E3" s="267" t="s">
        <v>278</v>
      </c>
      <c r="F3" s="267" t="s">
        <v>279</v>
      </c>
      <c r="G3" s="267" t="s">
        <v>280</v>
      </c>
      <c r="H3" s="267" t="s">
        <v>281</v>
      </c>
      <c r="I3" s="268" t="s">
        <v>282</v>
      </c>
    </row>
    <row r="4" spans="2:13" ht="15.75" x14ac:dyDescent="0.2">
      <c r="B4" s="349" t="s">
        <v>311</v>
      </c>
      <c r="C4" s="429" t="s">
        <v>379</v>
      </c>
      <c r="D4" s="430" t="s">
        <v>381</v>
      </c>
      <c r="E4" s="308" t="s">
        <v>283</v>
      </c>
      <c r="F4" s="429" t="s">
        <v>379</v>
      </c>
      <c r="G4" s="430" t="s">
        <v>381</v>
      </c>
      <c r="H4" s="429" t="s">
        <v>379</v>
      </c>
      <c r="I4" s="269" t="s">
        <v>283</v>
      </c>
    </row>
    <row r="5" spans="2:13" ht="16.5" thickBot="1" x14ac:dyDescent="0.25">
      <c r="B5" s="350" t="s">
        <v>312</v>
      </c>
      <c r="C5" s="460" t="s">
        <v>400</v>
      </c>
      <c r="D5" s="460"/>
      <c r="E5" s="460"/>
      <c r="F5" s="460"/>
      <c r="G5" s="270"/>
      <c r="H5" s="270"/>
      <c r="I5" s="271"/>
    </row>
    <row r="6" spans="2:13" ht="16.5" thickBot="1" x14ac:dyDescent="0.3">
      <c r="B6" s="348" t="s">
        <v>331</v>
      </c>
      <c r="C6" s="322"/>
      <c r="D6" s="322"/>
      <c r="E6" s="323"/>
    </row>
    <row r="7" spans="2:13" x14ac:dyDescent="0.2">
      <c r="B7" s="299" t="s">
        <v>300</v>
      </c>
      <c r="C7" s="300"/>
      <c r="D7" s="301"/>
      <c r="E7" s="432">
        <v>3</v>
      </c>
    </row>
    <row r="8" spans="2:13" x14ac:dyDescent="0.2">
      <c r="B8" s="296" t="s">
        <v>382</v>
      </c>
      <c r="C8" s="302"/>
      <c r="D8" s="303"/>
      <c r="E8" s="431">
        <v>2</v>
      </c>
    </row>
    <row r="9" spans="2:13" ht="16.5" thickBot="1" x14ac:dyDescent="0.3">
      <c r="B9" s="344" t="s">
        <v>301</v>
      </c>
      <c r="C9" s="345"/>
      <c r="D9" s="346"/>
      <c r="E9" s="347">
        <f>SUM(E7:E8)</f>
        <v>5</v>
      </c>
    </row>
    <row r="11" spans="2:13" ht="15.75" thickBot="1" x14ac:dyDescent="0.25"/>
    <row r="12" spans="2:13" ht="16.5" thickBot="1" x14ac:dyDescent="0.3">
      <c r="B12" s="461" t="s">
        <v>353</v>
      </c>
      <c r="C12" s="462"/>
      <c r="D12" s="462"/>
      <c r="E12" s="462"/>
      <c r="F12" s="462"/>
      <c r="G12" s="462"/>
      <c r="H12" s="462"/>
      <c r="I12" s="462"/>
      <c r="J12" s="463"/>
    </row>
    <row r="13" spans="2:13" ht="16.5" customHeight="1" thickBot="1" x14ac:dyDescent="0.3">
      <c r="B13" s="324" t="s">
        <v>284</v>
      </c>
      <c r="C13" s="325"/>
      <c r="D13" s="325"/>
      <c r="E13" s="325"/>
      <c r="F13" s="325"/>
      <c r="G13" s="325"/>
      <c r="H13" s="325"/>
      <c r="I13" s="325"/>
      <c r="J13" s="326"/>
    </row>
    <row r="14" spans="2:13" ht="47.25" x14ac:dyDescent="0.25">
      <c r="B14" s="452" t="s">
        <v>396</v>
      </c>
      <c r="C14" s="272" t="s">
        <v>285</v>
      </c>
      <c r="D14" s="272" t="s">
        <v>286</v>
      </c>
      <c r="E14" s="272" t="s">
        <v>287</v>
      </c>
      <c r="F14" s="272" t="s">
        <v>288</v>
      </c>
      <c r="G14" s="272" t="s">
        <v>289</v>
      </c>
      <c r="H14" s="272" t="s">
        <v>290</v>
      </c>
      <c r="I14" s="272" t="s">
        <v>291</v>
      </c>
      <c r="J14" s="273" t="s">
        <v>292</v>
      </c>
    </row>
    <row r="15" spans="2:13" x14ac:dyDescent="0.2">
      <c r="B15" s="274" t="s">
        <v>310</v>
      </c>
      <c r="C15" s="310">
        <v>25.72</v>
      </c>
      <c r="D15" s="310">
        <v>7.5</v>
      </c>
      <c r="E15" s="275">
        <f>C15/D15</f>
        <v>3.4293333333333331</v>
      </c>
      <c r="F15" s="309">
        <v>91</v>
      </c>
      <c r="G15" s="309">
        <v>50</v>
      </c>
      <c r="H15" s="275">
        <f>F15/G15</f>
        <v>1.82</v>
      </c>
      <c r="I15" s="310">
        <v>0.3</v>
      </c>
      <c r="J15" s="276">
        <f>E15+H15+I15</f>
        <v>5.5493333333333332</v>
      </c>
    </row>
    <row r="16" spans="2:13" ht="16.5" thickBot="1" x14ac:dyDescent="0.3">
      <c r="B16" s="448" t="s">
        <v>293</v>
      </c>
      <c r="C16" s="449">
        <f>SUM(C15:C15)</f>
        <v>25.72</v>
      </c>
      <c r="D16" s="450"/>
      <c r="E16" s="449">
        <f>SUM(E15:E15)</f>
        <v>3.4293333333333331</v>
      </c>
      <c r="F16" s="450">
        <f>SUM(F15:F15)</f>
        <v>91</v>
      </c>
      <c r="G16" s="450"/>
      <c r="H16" s="449">
        <f>SUM(H15:H15)</f>
        <v>1.82</v>
      </c>
      <c r="I16" s="449"/>
      <c r="J16" s="451">
        <f>SUM(J15:J15)</f>
        <v>5.5493333333333332</v>
      </c>
      <c r="L16" s="459"/>
      <c r="M16" s="459"/>
    </row>
    <row r="17" spans="2:13" ht="47.25" x14ac:dyDescent="0.25">
      <c r="B17" s="452" t="s">
        <v>368</v>
      </c>
      <c r="C17" s="272" t="s">
        <v>285</v>
      </c>
      <c r="D17" s="272" t="s">
        <v>286</v>
      </c>
      <c r="E17" s="272" t="s">
        <v>287</v>
      </c>
      <c r="F17" s="272" t="s">
        <v>288</v>
      </c>
      <c r="G17" s="272" t="s">
        <v>289</v>
      </c>
      <c r="H17" s="272" t="s">
        <v>290</v>
      </c>
      <c r="I17" s="272" t="s">
        <v>291</v>
      </c>
      <c r="J17" s="273" t="s">
        <v>292</v>
      </c>
      <c r="L17" s="459"/>
      <c r="M17" s="459"/>
    </row>
    <row r="18" spans="2:13" ht="15.75" x14ac:dyDescent="0.25">
      <c r="B18" s="453" t="s">
        <v>367</v>
      </c>
      <c r="C18" s="454">
        <f>C15*DiasColetaPorSemana_Organicos*Semanas_Mes_Média</f>
        <v>335.27857142857147</v>
      </c>
      <c r="D18" s="446"/>
      <c r="E18" s="446"/>
      <c r="F18" s="455">
        <f>F15*DiasColetaPorSemana_Organicos*Semanas_Mes_Média</f>
        <v>1186.2500000000002</v>
      </c>
      <c r="G18" s="444">
        <f>C18+F18</f>
        <v>1521.5285714285717</v>
      </c>
      <c r="H18" s="445"/>
      <c r="I18" s="446"/>
      <c r="J18" s="447"/>
      <c r="L18" s="395" t="s">
        <v>316</v>
      </c>
      <c r="M18" s="396"/>
    </row>
    <row r="19" spans="2:13" ht="15.75" x14ac:dyDescent="0.25">
      <c r="B19" s="456" t="s">
        <v>383</v>
      </c>
      <c r="C19" s="457">
        <f>C15*DiasColetaPorSemana_Reciclaveis*Semanas_Mes_Média</f>
        <v>223.51904761904763</v>
      </c>
      <c r="D19" s="409"/>
      <c r="E19" s="409"/>
      <c r="F19" s="458">
        <f>F15*DiasColetaPorSemana_Reciclaveis*Semanas_Mes_Média</f>
        <v>790.83333333333348</v>
      </c>
      <c r="G19" s="407">
        <f>C19+F19</f>
        <v>1014.3523809523811</v>
      </c>
      <c r="H19" s="408"/>
      <c r="I19" s="409"/>
      <c r="J19" s="410"/>
      <c r="L19" s="317" t="s">
        <v>317</v>
      </c>
      <c r="M19" s="317" t="s">
        <v>302</v>
      </c>
    </row>
    <row r="20" spans="2:13" ht="16.5" thickBot="1" x14ac:dyDescent="0.3">
      <c r="B20" s="443" t="s">
        <v>395</v>
      </c>
      <c r="C20" s="417">
        <f>SUM(C18:C19)</f>
        <v>558.79761904761904</v>
      </c>
      <c r="D20" s="413"/>
      <c r="E20" s="414"/>
      <c r="F20" s="406">
        <f>SUM(F18:F19)</f>
        <v>1977.0833333333337</v>
      </c>
      <c r="G20" s="418">
        <f>SUM(G18:G19)</f>
        <v>2535.8809523809527</v>
      </c>
      <c r="H20" s="411"/>
      <c r="I20" s="387"/>
      <c r="J20" s="412"/>
      <c r="L20" s="318" t="s">
        <v>318</v>
      </c>
      <c r="M20" s="170">
        <v>365</v>
      </c>
    </row>
    <row r="21" spans="2:13" x14ac:dyDescent="0.2">
      <c r="B21" s="314" t="s">
        <v>371</v>
      </c>
      <c r="C21" s="315"/>
      <c r="D21" s="315"/>
      <c r="E21" s="315"/>
      <c r="F21" s="315"/>
      <c r="G21" s="315"/>
      <c r="H21" s="315"/>
      <c r="I21" s="315"/>
      <c r="J21" s="316"/>
      <c r="L21" s="318" t="s">
        <v>319</v>
      </c>
      <c r="M21" s="170">
        <v>7</v>
      </c>
    </row>
    <row r="22" spans="2:13" x14ac:dyDescent="0.2">
      <c r="B22" s="314" t="s">
        <v>313</v>
      </c>
      <c r="C22" s="315"/>
      <c r="D22" s="315"/>
      <c r="E22" s="315"/>
      <c r="F22" s="315"/>
      <c r="G22" s="315"/>
      <c r="H22" s="315"/>
      <c r="I22" s="315"/>
      <c r="J22" s="316"/>
      <c r="L22" s="318" t="s">
        <v>320</v>
      </c>
      <c r="M22" s="319">
        <f>M20/M21</f>
        <v>52.142857142857146</v>
      </c>
    </row>
    <row r="23" spans="2:13" x14ac:dyDescent="0.2">
      <c r="B23" s="314" t="s">
        <v>314</v>
      </c>
      <c r="C23" s="315"/>
      <c r="D23" s="315"/>
      <c r="E23" s="315"/>
      <c r="F23" s="315"/>
      <c r="G23" s="315"/>
      <c r="H23" s="315"/>
      <c r="I23" s="315"/>
      <c r="J23" s="316"/>
      <c r="L23" s="320" t="s">
        <v>321</v>
      </c>
      <c r="M23" s="321">
        <f>M22/12</f>
        <v>4.3452380952380958</v>
      </c>
    </row>
    <row r="24" spans="2:13" x14ac:dyDescent="0.2">
      <c r="B24" s="314" t="s">
        <v>315</v>
      </c>
      <c r="C24" s="315"/>
      <c r="D24" s="315"/>
      <c r="E24" s="315"/>
      <c r="F24" s="315"/>
      <c r="G24" s="315"/>
      <c r="H24" s="315"/>
      <c r="I24" s="315"/>
      <c r="J24" s="316"/>
    </row>
    <row r="25" spans="2:13" ht="15.75" thickBot="1" x14ac:dyDescent="0.25">
      <c r="B25" s="285"/>
      <c r="C25" s="286"/>
      <c r="D25" s="286"/>
      <c r="E25" s="286"/>
      <c r="F25" s="286"/>
      <c r="G25" s="286"/>
      <c r="H25" s="286"/>
      <c r="I25" s="286"/>
      <c r="J25" s="287"/>
    </row>
    <row r="26" spans="2:13" ht="16.5" thickBot="1" x14ac:dyDescent="0.3">
      <c r="B26" s="324" t="s">
        <v>294</v>
      </c>
      <c r="C26" s="325"/>
      <c r="D26" s="325"/>
      <c r="E26" s="325"/>
      <c r="F26" s="325"/>
      <c r="G26" s="325"/>
      <c r="H26" s="325"/>
      <c r="I26" s="325"/>
      <c r="J26" s="326"/>
    </row>
    <row r="27" spans="2:13" ht="47.25" x14ac:dyDescent="0.25">
      <c r="B27" s="452" t="s">
        <v>368</v>
      </c>
      <c r="C27" s="272" t="s">
        <v>285</v>
      </c>
      <c r="D27" s="272" t="s">
        <v>286</v>
      </c>
      <c r="E27" s="272" t="s">
        <v>287</v>
      </c>
      <c r="F27" s="272" t="s">
        <v>288</v>
      </c>
      <c r="G27" s="272" t="s">
        <v>289</v>
      </c>
      <c r="H27" s="272" t="s">
        <v>290</v>
      </c>
      <c r="I27" s="272" t="s">
        <v>295</v>
      </c>
      <c r="J27" s="273" t="s">
        <v>292</v>
      </c>
    </row>
    <row r="28" spans="2:13" x14ac:dyDescent="0.2">
      <c r="B28" s="274" t="s">
        <v>322</v>
      </c>
      <c r="C28" s="310">
        <v>78.569999999999993</v>
      </c>
      <c r="D28" s="309">
        <v>20</v>
      </c>
      <c r="E28" s="275">
        <f>C28/D28</f>
        <v>3.9284999999999997</v>
      </c>
      <c r="F28" s="309">
        <v>91</v>
      </c>
      <c r="G28" s="309">
        <v>50</v>
      </c>
      <c r="H28" s="275">
        <f>F28/G28</f>
        <v>1.82</v>
      </c>
      <c r="I28" s="310">
        <v>0.3</v>
      </c>
      <c r="J28" s="276">
        <f>E28+H28+I28</f>
        <v>6.0484999999999998</v>
      </c>
    </row>
    <row r="29" spans="2:13" ht="15.75" customHeight="1" x14ac:dyDescent="0.2">
      <c r="B29" s="274" t="s">
        <v>380</v>
      </c>
      <c r="C29" s="310">
        <v>63.39</v>
      </c>
      <c r="D29" s="309">
        <v>20</v>
      </c>
      <c r="E29" s="275">
        <f>C29/D29</f>
        <v>3.1695000000000002</v>
      </c>
      <c r="F29" s="309">
        <v>91</v>
      </c>
      <c r="G29" s="309">
        <v>50</v>
      </c>
      <c r="H29" s="275">
        <f>F29/G29</f>
        <v>1.82</v>
      </c>
      <c r="I29" s="310">
        <v>0.3</v>
      </c>
      <c r="J29" s="276">
        <f>E29+H29+I29</f>
        <v>5.2895000000000003</v>
      </c>
    </row>
    <row r="30" spans="2:13" ht="15.75" x14ac:dyDescent="0.25">
      <c r="B30" s="277" t="s">
        <v>296</v>
      </c>
      <c r="C30" s="279">
        <f>SUM(C28:C29)</f>
        <v>141.95999999999998</v>
      </c>
      <c r="D30" s="278"/>
      <c r="E30" s="279">
        <f>SUM(E28:E29)</f>
        <v>7.0979999999999999</v>
      </c>
      <c r="F30" s="278">
        <f>SUM(F28:F29)</f>
        <v>182</v>
      </c>
      <c r="G30" s="278"/>
      <c r="H30" s="279">
        <f>SUM(H28:H29)</f>
        <v>3.64</v>
      </c>
      <c r="I30" s="279"/>
      <c r="J30" s="280">
        <f>SUM(J28:J29)</f>
        <v>11.338000000000001</v>
      </c>
    </row>
    <row r="31" spans="2:13" ht="15.75" x14ac:dyDescent="0.25">
      <c r="B31" s="281" t="s">
        <v>297</v>
      </c>
      <c r="C31" s="282"/>
      <c r="D31" s="282"/>
      <c r="E31" s="283"/>
      <c r="F31" s="284">
        <f>(C30+F30)</f>
        <v>323.95999999999998</v>
      </c>
      <c r="G31" s="278" t="s">
        <v>283</v>
      </c>
      <c r="H31" s="279" t="s">
        <v>283</v>
      </c>
      <c r="I31" s="279" t="s">
        <v>283</v>
      </c>
      <c r="J31" s="280" t="s">
        <v>283</v>
      </c>
    </row>
    <row r="32" spans="2:13" x14ac:dyDescent="0.2">
      <c r="B32" s="311" t="s">
        <v>397</v>
      </c>
      <c r="C32" s="312"/>
      <c r="D32" s="312"/>
      <c r="E32" s="312"/>
      <c r="F32" s="312"/>
      <c r="G32" s="312"/>
      <c r="H32" s="312"/>
      <c r="I32" s="312"/>
      <c r="J32" s="313"/>
    </row>
    <row r="33" spans="2:10" x14ac:dyDescent="0.2">
      <c r="B33" s="314" t="s">
        <v>323</v>
      </c>
      <c r="C33" s="315"/>
      <c r="D33" s="315"/>
      <c r="E33" s="315"/>
      <c r="F33" s="315"/>
      <c r="G33" s="315"/>
      <c r="H33" s="315"/>
      <c r="I33" s="315"/>
      <c r="J33" s="316"/>
    </row>
    <row r="34" spans="2:10" x14ac:dyDescent="0.2">
      <c r="B34" s="314" t="s">
        <v>324</v>
      </c>
      <c r="C34" s="315"/>
      <c r="D34" s="315"/>
      <c r="E34" s="315"/>
      <c r="F34" s="315"/>
      <c r="G34" s="315"/>
      <c r="H34" s="315"/>
      <c r="I34" s="315"/>
      <c r="J34" s="316"/>
    </row>
    <row r="35" spans="2:10" x14ac:dyDescent="0.2">
      <c r="B35" s="314" t="s">
        <v>315</v>
      </c>
      <c r="C35" s="315"/>
      <c r="D35" s="315"/>
      <c r="E35" s="315"/>
      <c r="F35" s="315"/>
      <c r="G35" s="315"/>
      <c r="H35" s="315"/>
      <c r="I35" s="315"/>
      <c r="J35" s="316"/>
    </row>
    <row r="36" spans="2:10" ht="15.75" thickBot="1" x14ac:dyDescent="0.25">
      <c r="B36" s="285"/>
      <c r="C36" s="286"/>
      <c r="D36" s="286"/>
      <c r="E36" s="286"/>
      <c r="F36" s="286"/>
      <c r="G36" s="286"/>
      <c r="H36" s="286"/>
      <c r="I36" s="286"/>
      <c r="J36" s="287"/>
    </row>
    <row r="37" spans="2:10" ht="16.5" thickBot="1" x14ac:dyDescent="0.3">
      <c r="B37" s="324" t="s">
        <v>325</v>
      </c>
      <c r="C37" s="325"/>
      <c r="D37" s="325"/>
      <c r="E37" s="325"/>
      <c r="F37" s="325"/>
      <c r="G37" s="325"/>
      <c r="H37" s="325"/>
      <c r="I37" s="325"/>
      <c r="J37" s="326"/>
    </row>
    <row r="38" spans="2:10" ht="31.5" x14ac:dyDescent="0.25">
      <c r="B38" s="291" t="s">
        <v>298</v>
      </c>
      <c r="C38" s="292"/>
      <c r="D38" s="292"/>
      <c r="E38" s="272" t="s">
        <v>299</v>
      </c>
      <c r="F38" s="327"/>
      <c r="G38" s="293"/>
      <c r="H38" s="293"/>
      <c r="I38" s="293"/>
      <c r="J38" s="294"/>
    </row>
    <row r="39" spans="2:10" x14ac:dyDescent="0.2">
      <c r="B39" s="288" t="s">
        <v>326</v>
      </c>
      <c r="C39" s="289"/>
      <c r="D39" s="290"/>
      <c r="E39" s="309">
        <v>45</v>
      </c>
      <c r="F39" s="328"/>
      <c r="G39" s="329"/>
      <c r="H39" s="329"/>
      <c r="I39" s="329"/>
      <c r="J39" s="295"/>
    </row>
    <row r="40" spans="2:10" ht="15.75" customHeight="1" x14ac:dyDescent="0.2">
      <c r="B40" s="288" t="s">
        <v>327</v>
      </c>
      <c r="C40" s="289"/>
      <c r="D40" s="290"/>
      <c r="E40" s="309">
        <v>46</v>
      </c>
      <c r="F40" s="328"/>
      <c r="G40" s="329"/>
      <c r="H40" s="329"/>
      <c r="I40" s="329"/>
      <c r="J40" s="295"/>
    </row>
    <row r="41" spans="2:10" ht="16.5" thickBot="1" x14ac:dyDescent="0.3">
      <c r="B41" s="330" t="s">
        <v>328</v>
      </c>
      <c r="C41" s="331"/>
      <c r="D41" s="332"/>
      <c r="E41" s="333">
        <f>SUM(E39:E40)</f>
        <v>91</v>
      </c>
      <c r="F41" s="334"/>
      <c r="G41" s="297"/>
      <c r="H41" s="297"/>
      <c r="I41" s="297"/>
      <c r="J41" s="298"/>
    </row>
    <row r="42" spans="2:10" x14ac:dyDescent="0.2">
      <c r="B42" s="335" t="s">
        <v>329</v>
      </c>
      <c r="C42" s="336"/>
      <c r="D42" s="336"/>
      <c r="E42" s="336"/>
      <c r="F42" s="336"/>
      <c r="G42" s="336"/>
      <c r="H42" s="336"/>
      <c r="I42" s="336"/>
      <c r="J42" s="337"/>
    </row>
    <row r="43" spans="2:10" x14ac:dyDescent="0.2">
      <c r="B43" s="338" t="s">
        <v>330</v>
      </c>
      <c r="C43" s="339"/>
      <c r="D43" s="339"/>
      <c r="E43" s="339"/>
      <c r="F43" s="339"/>
      <c r="G43" s="339"/>
      <c r="H43" s="339"/>
      <c r="I43" s="339"/>
      <c r="J43" s="340"/>
    </row>
    <row r="44" spans="2:10" ht="15.75" thickBot="1" x14ac:dyDescent="0.25">
      <c r="B44" s="341"/>
      <c r="C44" s="342"/>
      <c r="D44" s="342"/>
      <c r="E44" s="342"/>
      <c r="F44" s="342"/>
      <c r="G44" s="342"/>
      <c r="H44" s="342"/>
      <c r="I44" s="342"/>
      <c r="J44" s="343"/>
    </row>
    <row r="46" spans="2:10" ht="15.75" thickBot="1" x14ac:dyDescent="0.25"/>
    <row r="47" spans="2:10" s="351" customFormat="1" ht="16.5" thickBot="1" x14ac:dyDescent="0.3">
      <c r="B47" s="355" t="s">
        <v>355</v>
      </c>
      <c r="C47" s="356"/>
      <c r="D47" s="356"/>
      <c r="E47" s="356"/>
      <c r="F47" s="357"/>
    </row>
    <row r="48" spans="2:10" s="351" customFormat="1" ht="20.25" customHeight="1" x14ac:dyDescent="0.2">
      <c r="B48" s="358" t="s">
        <v>333</v>
      </c>
      <c r="C48" s="359"/>
      <c r="D48" s="359"/>
      <c r="E48" s="359"/>
      <c r="F48" s="360"/>
    </row>
    <row r="49" spans="1:15" s="352" customFormat="1" ht="19.5" customHeight="1" x14ac:dyDescent="0.2">
      <c r="B49" s="472" t="s">
        <v>334</v>
      </c>
      <c r="C49" s="473"/>
      <c r="D49" s="353" t="s">
        <v>335</v>
      </c>
      <c r="E49" s="353" t="s">
        <v>336</v>
      </c>
      <c r="F49" s="361" t="s">
        <v>337</v>
      </c>
      <c r="G49" s="351"/>
      <c r="H49" s="351"/>
      <c r="I49" s="351"/>
      <c r="J49" s="351"/>
    </row>
    <row r="50" spans="1:15" s="352" customFormat="1" ht="19.5" customHeight="1" x14ac:dyDescent="0.2">
      <c r="A50" s="351"/>
      <c r="B50" s="362" t="s">
        <v>338</v>
      </c>
      <c r="C50" s="354"/>
      <c r="D50" s="170" t="s">
        <v>339</v>
      </c>
      <c r="E50" s="170" t="s">
        <v>340</v>
      </c>
      <c r="F50" s="363">
        <v>474239</v>
      </c>
      <c r="G50" s="351"/>
      <c r="H50" s="351"/>
      <c r="I50" s="351"/>
      <c r="J50" s="351"/>
      <c r="K50" s="351"/>
      <c r="L50" s="351"/>
      <c r="M50" s="351"/>
      <c r="N50" s="351"/>
      <c r="O50" s="351"/>
    </row>
    <row r="51" spans="1:15" s="351" customFormat="1" ht="19.5" customHeight="1" x14ac:dyDescent="0.2">
      <c r="A51" s="352"/>
      <c r="B51" s="362" t="s">
        <v>341</v>
      </c>
      <c r="C51" s="354"/>
      <c r="D51" s="170" t="s">
        <v>342</v>
      </c>
      <c r="E51" s="170" t="s">
        <v>340</v>
      </c>
      <c r="F51" s="363">
        <v>488850</v>
      </c>
      <c r="K51" s="352"/>
      <c r="L51" s="352"/>
      <c r="M51" s="352"/>
      <c r="N51" s="352"/>
      <c r="O51" s="352"/>
    </row>
    <row r="52" spans="1:15" s="351" customFormat="1" ht="19.5" customHeight="1" x14ac:dyDescent="0.2">
      <c r="B52" s="362" t="s">
        <v>343</v>
      </c>
      <c r="C52" s="354"/>
      <c r="D52" s="170" t="s">
        <v>344</v>
      </c>
      <c r="E52" s="170" t="s">
        <v>340</v>
      </c>
      <c r="F52" s="363">
        <v>494520</v>
      </c>
    </row>
    <row r="53" spans="1:15" s="351" customFormat="1" ht="19.5" customHeight="1" x14ac:dyDescent="0.2">
      <c r="B53" s="362" t="s">
        <v>345</v>
      </c>
      <c r="C53" s="354"/>
      <c r="D53" s="170" t="s">
        <v>346</v>
      </c>
      <c r="E53" s="170" t="s">
        <v>340</v>
      </c>
      <c r="F53" s="363">
        <v>515854</v>
      </c>
    </row>
    <row r="54" spans="1:15" s="351" customFormat="1" ht="19.5" customHeight="1" thickBot="1" x14ac:dyDescent="0.25">
      <c r="B54" s="364" t="s">
        <v>347</v>
      </c>
      <c r="C54" s="365"/>
      <c r="D54" s="366"/>
      <c r="E54" s="366"/>
      <c r="F54" s="367">
        <f>AVERAGE(F50:F53)</f>
        <v>493365.75</v>
      </c>
    </row>
    <row r="55" spans="1:15" s="351" customFormat="1" ht="20.25" customHeight="1" x14ac:dyDescent="0.2">
      <c r="B55" s="358" t="s">
        <v>348</v>
      </c>
      <c r="C55" s="359"/>
      <c r="D55" s="359"/>
      <c r="E55" s="359"/>
      <c r="F55" s="360"/>
    </row>
    <row r="56" spans="1:15" s="352" customFormat="1" ht="19.5" customHeight="1" x14ac:dyDescent="0.2">
      <c r="B56" s="472" t="s">
        <v>334</v>
      </c>
      <c r="C56" s="473"/>
      <c r="D56" s="353" t="s">
        <v>335</v>
      </c>
      <c r="E56" s="353" t="s">
        <v>336</v>
      </c>
      <c r="F56" s="361" t="s">
        <v>337</v>
      </c>
      <c r="G56" s="351"/>
      <c r="H56" s="351"/>
      <c r="I56" s="351"/>
      <c r="J56" s="351"/>
    </row>
    <row r="57" spans="1:15" s="351" customFormat="1" ht="19.5" customHeight="1" x14ac:dyDescent="0.2">
      <c r="B57" s="362" t="s">
        <v>349</v>
      </c>
      <c r="C57" s="354"/>
      <c r="D57" s="170" t="s">
        <v>339</v>
      </c>
      <c r="E57" s="170" t="s">
        <v>340</v>
      </c>
      <c r="F57" s="363">
        <v>490047</v>
      </c>
    </row>
    <row r="58" spans="1:15" s="351" customFormat="1" ht="19.5" customHeight="1" x14ac:dyDescent="0.2">
      <c r="B58" s="362" t="s">
        <v>350</v>
      </c>
      <c r="C58" s="354"/>
      <c r="D58" s="170" t="s">
        <v>346</v>
      </c>
      <c r="E58" s="170" t="s">
        <v>340</v>
      </c>
      <c r="F58" s="363">
        <v>531733</v>
      </c>
    </row>
    <row r="59" spans="1:15" s="351" customFormat="1" ht="19.5" customHeight="1" x14ac:dyDescent="0.2">
      <c r="B59" s="362" t="s">
        <v>351</v>
      </c>
      <c r="C59" s="354"/>
      <c r="D59" s="170" t="s">
        <v>344</v>
      </c>
      <c r="E59" s="170" t="s">
        <v>340</v>
      </c>
      <c r="F59" s="363">
        <v>561989</v>
      </c>
    </row>
    <row r="60" spans="1:15" s="351" customFormat="1" ht="19.5" customHeight="1" x14ac:dyDescent="0.2">
      <c r="B60" s="362" t="s">
        <v>352</v>
      </c>
      <c r="C60" s="354"/>
      <c r="D60" s="170" t="s">
        <v>342</v>
      </c>
      <c r="E60" s="170" t="s">
        <v>340</v>
      </c>
      <c r="F60" s="363">
        <v>670477</v>
      </c>
    </row>
    <row r="61" spans="1:15" s="351" customFormat="1" ht="19.5" customHeight="1" thickBot="1" x14ac:dyDescent="0.25">
      <c r="B61" s="364" t="s">
        <v>347</v>
      </c>
      <c r="C61" s="365"/>
      <c r="D61" s="366"/>
      <c r="E61" s="366"/>
      <c r="F61" s="367">
        <f>AVERAGE(F57:F60)</f>
        <v>563561.5</v>
      </c>
    </row>
    <row r="62" spans="1:15" x14ac:dyDescent="0.2">
      <c r="B62" s="304" t="s">
        <v>354</v>
      </c>
    </row>
    <row r="64" spans="1:15" ht="15.75" thickBot="1" x14ac:dyDescent="0.25"/>
    <row r="65" spans="2:10" ht="16.5" thickBot="1" x14ac:dyDescent="0.3">
      <c r="B65" s="355" t="s">
        <v>361</v>
      </c>
      <c r="C65" s="356"/>
      <c r="D65" s="356"/>
      <c r="E65" s="356"/>
      <c r="F65" s="356"/>
      <c r="G65" s="356"/>
      <c r="H65" s="356"/>
      <c r="I65" s="356"/>
      <c r="J65" s="357"/>
    </row>
    <row r="66" spans="2:10" ht="48" thickBot="1" x14ac:dyDescent="0.25">
      <c r="B66" s="469" t="s">
        <v>303</v>
      </c>
      <c r="C66" s="470"/>
      <c r="D66" s="471"/>
      <c r="E66" s="305" t="s">
        <v>304</v>
      </c>
      <c r="F66" s="305" t="s">
        <v>305</v>
      </c>
      <c r="G66" s="305" t="s">
        <v>306</v>
      </c>
      <c r="H66" s="305" t="s">
        <v>307</v>
      </c>
      <c r="I66" s="306" t="s">
        <v>308</v>
      </c>
      <c r="J66" s="307" t="s">
        <v>309</v>
      </c>
    </row>
    <row r="67" spans="2:10" ht="15.75" x14ac:dyDescent="0.2">
      <c r="B67" s="370" t="s">
        <v>386</v>
      </c>
      <c r="C67" s="371"/>
      <c r="D67" s="372"/>
      <c r="E67" s="373">
        <v>5</v>
      </c>
      <c r="F67" s="368">
        <f>J16</f>
        <v>5.5493333333333332</v>
      </c>
      <c r="G67" s="368" t="s">
        <v>283</v>
      </c>
      <c r="H67" s="369">
        <f>E67*F67</f>
        <v>27.746666666666666</v>
      </c>
      <c r="I67" s="422"/>
      <c r="J67" s="388">
        <f>DiasColetaPorSemana_Reciclaveis * Semanas_Mes_Média</f>
        <v>8.6904761904761916</v>
      </c>
    </row>
    <row r="68" spans="2:10" ht="16.5" thickBot="1" x14ac:dyDescent="0.25">
      <c r="B68" s="381" t="s">
        <v>387</v>
      </c>
      <c r="C68" s="382"/>
      <c r="D68" s="383"/>
      <c r="E68" s="384" t="s">
        <v>283</v>
      </c>
      <c r="F68" s="385" t="s">
        <v>283</v>
      </c>
      <c r="G68" s="385">
        <f>J30</f>
        <v>11.338000000000001</v>
      </c>
      <c r="H68" s="386">
        <f>G68/Semanas_Mes_Média</f>
        <v>2.6092931506849313</v>
      </c>
      <c r="I68" s="423"/>
      <c r="J68" s="389">
        <v>2</v>
      </c>
    </row>
    <row r="69" spans="2:10" ht="16.5" thickBot="1" x14ac:dyDescent="0.25">
      <c r="B69" s="467" t="s">
        <v>385</v>
      </c>
      <c r="C69" s="468"/>
      <c r="D69" s="468"/>
      <c r="E69" s="390"/>
      <c r="F69" s="390"/>
      <c r="G69" s="390"/>
      <c r="H69" s="391">
        <f>SUM(H67:H68)</f>
        <v>30.355959817351597</v>
      </c>
      <c r="I69" s="424">
        <f>H69/44</f>
        <v>0.68990817766708179</v>
      </c>
      <c r="J69" s="392"/>
    </row>
    <row r="70" spans="2:10" ht="16.5" thickBot="1" x14ac:dyDescent="0.25">
      <c r="B70" s="464" t="s">
        <v>362</v>
      </c>
      <c r="C70" s="465"/>
      <c r="D70" s="466"/>
      <c r="E70" s="393"/>
      <c r="F70" s="393"/>
      <c r="G70" s="393"/>
      <c r="H70" s="393"/>
      <c r="I70" s="424">
        <f>I69</f>
        <v>0.68990817766708179</v>
      </c>
      <c r="J70" s="392"/>
    </row>
    <row r="71" spans="2:10" x14ac:dyDescent="0.2">
      <c r="B71" s="335" t="s">
        <v>398</v>
      </c>
      <c r="C71" s="336"/>
      <c r="D71" s="336"/>
      <c r="E71" s="336"/>
      <c r="F71" s="336"/>
      <c r="G71" s="336"/>
      <c r="H71" s="336"/>
      <c r="I71" s="336"/>
      <c r="J71" s="337"/>
    </row>
    <row r="72" spans="2:10" x14ac:dyDescent="0.2">
      <c r="B72" s="338" t="s">
        <v>399</v>
      </c>
      <c r="C72" s="339"/>
      <c r="D72" s="339"/>
      <c r="E72" s="339"/>
      <c r="F72" s="339"/>
      <c r="G72" s="339"/>
      <c r="H72" s="339"/>
      <c r="I72" s="339"/>
      <c r="J72" s="340"/>
    </row>
    <row r="73" spans="2:10" ht="15.75" thickBot="1" x14ac:dyDescent="0.25">
      <c r="B73" s="341"/>
      <c r="C73" s="342"/>
      <c r="D73" s="342"/>
      <c r="E73" s="342"/>
      <c r="F73" s="342"/>
      <c r="G73" s="342"/>
      <c r="H73" s="342"/>
      <c r="I73" s="342"/>
      <c r="J73" s="343"/>
    </row>
  </sheetData>
  <mergeCells count="7">
    <mergeCell ref="C5:F5"/>
    <mergeCell ref="B12:J12"/>
    <mergeCell ref="B70:D70"/>
    <mergeCell ref="B69:D69"/>
    <mergeCell ref="B66:D66"/>
    <mergeCell ref="B49:C49"/>
    <mergeCell ref="B56:C56"/>
  </mergeCells>
  <conditionalFormatting sqref="J28:J29 J39:J40">
    <cfRule type="cellIs" dxfId="5" priority="7" operator="greaterThan">
      <formula>8</formula>
    </cfRule>
  </conditionalFormatting>
  <conditionalFormatting sqref="J15">
    <cfRule type="cellIs" dxfId="4" priority="6" operator="greaterThan">
      <formula>8</formula>
    </cfRule>
  </conditionalFormatting>
  <conditionalFormatting sqref="J16">
    <cfRule type="cellIs" dxfId="3" priority="4" operator="greaterThan">
      <formula>8</formula>
    </cfRule>
  </conditionalFormatting>
  <conditionalFormatting sqref="I39:I40">
    <cfRule type="cellIs" dxfId="2" priority="2" operator="greaterThan">
      <formula>8</formula>
    </cfRule>
  </conditionalFormatting>
  <conditionalFormatting sqref="F39:H40">
    <cfRule type="cellIs" dxfId="1" priority="1" operator="greaterThan">
      <formula>8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280"/>
  <sheetViews>
    <sheetView view="pageBreakPreview" topLeftCell="A46" zoomScaleNormal="100" zoomScaleSheetLayoutView="100" workbookViewId="0">
      <selection activeCell="A44" sqref="A44"/>
    </sheetView>
  </sheetViews>
  <sheetFormatPr defaultRowHeight="12.75" x14ac:dyDescent="0.2"/>
  <cols>
    <col min="1" max="1" width="44.5703125" style="9" customWidth="1"/>
    <col min="2" max="2" width="16" style="9" bestFit="1" customWidth="1"/>
    <col min="3" max="3" width="11.85546875" style="9" customWidth="1"/>
    <col min="4" max="4" width="14.7109375" style="10" customWidth="1"/>
    <col min="5" max="5" width="15.42578125" style="10" customWidth="1"/>
    <col min="6" max="6" width="13.28515625" style="10" customWidth="1"/>
    <col min="7" max="7" width="28.140625" style="10" customWidth="1"/>
    <col min="8" max="8" width="9.140625" style="9"/>
    <col min="9" max="9" width="14.5703125" style="9" customWidth="1"/>
    <col min="10" max="10" width="13.42578125" style="9" customWidth="1"/>
    <col min="11" max="16384" width="9.140625" style="9"/>
  </cols>
  <sheetData>
    <row r="1" spans="1:7" ht="15.75" x14ac:dyDescent="0.2">
      <c r="A1" s="51" t="s">
        <v>186</v>
      </c>
    </row>
    <row r="2" spans="1:7" ht="15" x14ac:dyDescent="0.2">
      <c r="A2" s="419" t="s">
        <v>377</v>
      </c>
      <c r="B2" s="420"/>
      <c r="C2" s="420"/>
      <c r="D2" s="421"/>
      <c r="E2" s="421"/>
      <c r="F2" s="421"/>
    </row>
    <row r="3" spans="1:7" ht="15" x14ac:dyDescent="0.2">
      <c r="A3" s="419" t="s">
        <v>376</v>
      </c>
      <c r="B3" s="420"/>
      <c r="C3" s="420"/>
      <c r="D3" s="421"/>
      <c r="E3" s="421"/>
      <c r="F3" s="421"/>
    </row>
    <row r="4" spans="1:7" ht="15" customHeight="1" x14ac:dyDescent="0.2">
      <c r="A4" s="474" t="s">
        <v>378</v>
      </c>
      <c r="B4" s="474"/>
      <c r="C4" s="474"/>
      <c r="D4" s="474"/>
      <c r="E4" s="474"/>
      <c r="F4" s="474"/>
    </row>
    <row r="5" spans="1:7" s="4" customFormat="1" ht="15.6" customHeight="1" x14ac:dyDescent="0.2">
      <c r="A5" s="474"/>
      <c r="B5" s="474"/>
      <c r="C5" s="474"/>
      <c r="D5" s="474"/>
      <c r="E5" s="474"/>
      <c r="F5" s="474"/>
      <c r="G5" s="6"/>
    </row>
    <row r="6" spans="1:7" s="4" customFormat="1" ht="15.6" customHeight="1" x14ac:dyDescent="0.2">
      <c r="A6" s="474"/>
      <c r="B6" s="474"/>
      <c r="C6" s="474"/>
      <c r="D6" s="474"/>
      <c r="E6" s="474"/>
      <c r="F6" s="474"/>
      <c r="G6" s="6"/>
    </row>
    <row r="7" spans="1:7" s="4" customFormat="1" ht="15.6" customHeight="1" x14ac:dyDescent="0.2">
      <c r="A7" s="474"/>
      <c r="B7" s="474"/>
      <c r="C7" s="474"/>
      <c r="D7" s="474"/>
      <c r="E7" s="474"/>
      <c r="F7" s="474"/>
      <c r="G7" s="6"/>
    </row>
    <row r="8" spans="1:7" s="4" customFormat="1" ht="15.6" customHeight="1" x14ac:dyDescent="0.2">
      <c r="A8" s="474"/>
      <c r="B8" s="474"/>
      <c r="C8" s="474"/>
      <c r="D8" s="474"/>
      <c r="E8" s="474"/>
      <c r="F8" s="474"/>
      <c r="G8" s="6"/>
    </row>
    <row r="9" spans="1:7" s="4" customFormat="1" ht="15.6" customHeight="1" x14ac:dyDescent="0.2">
      <c r="A9" s="474"/>
      <c r="B9" s="474"/>
      <c r="C9" s="474"/>
      <c r="D9" s="474"/>
      <c r="E9" s="474"/>
      <c r="F9" s="474"/>
      <c r="G9" s="6"/>
    </row>
    <row r="10" spans="1:7" s="4" customFormat="1" ht="16.5" customHeight="1" thickBot="1" x14ac:dyDescent="0.25">
      <c r="A10" s="7"/>
      <c r="B10" s="5"/>
      <c r="C10" s="5"/>
      <c r="D10" s="6"/>
      <c r="E10" s="6"/>
      <c r="F10" s="6"/>
      <c r="G10" s="6"/>
    </row>
    <row r="11" spans="1:7" s="8" customFormat="1" ht="18" x14ac:dyDescent="0.2">
      <c r="A11" s="479" t="s">
        <v>198</v>
      </c>
      <c r="B11" s="480"/>
      <c r="C11" s="480"/>
      <c r="D11" s="480"/>
      <c r="E11" s="480"/>
      <c r="F11" s="481"/>
      <c r="G11" s="35"/>
    </row>
    <row r="12" spans="1:7" s="8" customFormat="1" ht="21.75" customHeight="1" x14ac:dyDescent="0.2">
      <c r="A12" s="482" t="s">
        <v>36</v>
      </c>
      <c r="B12" s="483"/>
      <c r="C12" s="483"/>
      <c r="D12" s="483"/>
      <c r="E12" s="483"/>
      <c r="F12" s="484"/>
      <c r="G12" s="35"/>
    </row>
    <row r="13" spans="1:7" s="4" customFormat="1" ht="10.9" customHeight="1" thickBot="1" x14ac:dyDescent="0.25">
      <c r="A13" s="123"/>
      <c r="B13" s="5"/>
      <c r="C13" s="5"/>
      <c r="D13" s="124"/>
      <c r="E13" s="124"/>
      <c r="F13" s="125"/>
      <c r="G13" s="6"/>
    </row>
    <row r="14" spans="1:7" s="4" customFormat="1" ht="15.75" customHeight="1" thickBot="1" x14ac:dyDescent="0.25">
      <c r="A14" s="488" t="s">
        <v>185</v>
      </c>
      <c r="B14" s="489"/>
      <c r="C14" s="489"/>
      <c r="D14" s="489"/>
      <c r="E14" s="489"/>
      <c r="F14" s="490"/>
      <c r="G14" s="6"/>
    </row>
    <row r="15" spans="1:7" s="4" customFormat="1" ht="15.75" customHeight="1" x14ac:dyDescent="0.2">
      <c r="A15" s="58" t="s">
        <v>184</v>
      </c>
      <c r="B15" s="39"/>
      <c r="C15" s="39"/>
      <c r="D15" s="199"/>
      <c r="E15" s="97" t="s">
        <v>31</v>
      </c>
      <c r="F15" s="40" t="s">
        <v>1</v>
      </c>
      <c r="G15" s="6"/>
    </row>
    <row r="16" spans="1:7" s="11" customFormat="1" ht="15.75" customHeight="1" x14ac:dyDescent="0.2">
      <c r="A16" s="105" t="str">
        <f>A50</f>
        <v>1. Mão-de-obra</v>
      </c>
      <c r="B16" s="106"/>
      <c r="C16" s="107"/>
      <c r="D16" s="107"/>
      <c r="E16" s="398">
        <f>SUM(E17:E21)</f>
        <v>9834.2552851563887</v>
      </c>
      <c r="F16" s="402">
        <f t="shared" ref="F16:F33" si="0">IFERROR(E16/$E$34,0)</f>
        <v>0.30765338912506229</v>
      </c>
      <c r="G16" s="43"/>
    </row>
    <row r="17" spans="1:7" s="4" customFormat="1" ht="15.75" customHeight="1" x14ac:dyDescent="0.2">
      <c r="A17" s="374" t="str">
        <f>A52</f>
        <v>1.1. Coletor de Resíduos Sólidos</v>
      </c>
      <c r="B17" s="44"/>
      <c r="C17" s="46"/>
      <c r="D17" s="46"/>
      <c r="E17" s="399">
        <f>F60</f>
        <v>5561.7886068041462</v>
      </c>
      <c r="F17" s="403">
        <f t="shared" si="0"/>
        <v>0.17399417290530947</v>
      </c>
      <c r="G17" s="6"/>
    </row>
    <row r="18" spans="1:7" s="4" customFormat="1" ht="15.75" customHeight="1" x14ac:dyDescent="0.2">
      <c r="A18" s="374" t="str">
        <f>A62</f>
        <v>1.2. Motorista de Caminhão</v>
      </c>
      <c r="B18" s="44"/>
      <c r="C18" s="46"/>
      <c r="D18" s="46"/>
      <c r="E18" s="399">
        <f>F72</f>
        <v>3201.2857534291675</v>
      </c>
      <c r="F18" s="403">
        <f t="shared" si="0"/>
        <v>0.10014855045372151</v>
      </c>
      <c r="G18" s="6"/>
    </row>
    <row r="19" spans="1:7" s="4" customFormat="1" ht="15.75" customHeight="1" x14ac:dyDescent="0.2">
      <c r="A19" s="374" t="str">
        <f>A75</f>
        <v>1.3. Vale Transporte</v>
      </c>
      <c r="B19" s="44"/>
      <c r="C19" s="46"/>
      <c r="D19" s="46"/>
      <c r="E19" s="399">
        <f>F81</f>
        <v>273.98252492307688</v>
      </c>
      <c r="F19" s="403">
        <f t="shared" si="0"/>
        <v>8.5712288230766643E-3</v>
      </c>
      <c r="G19" s="6"/>
    </row>
    <row r="20" spans="1:7" s="4" customFormat="1" ht="15.75" customHeight="1" x14ac:dyDescent="0.2">
      <c r="A20" s="374" t="str">
        <f>A83</f>
        <v>1.4. Vale-refeição (diário)</v>
      </c>
      <c r="B20" s="44"/>
      <c r="C20" s="46"/>
      <c r="D20" s="46"/>
      <c r="E20" s="399">
        <f>F87</f>
        <v>590.19839999999999</v>
      </c>
      <c r="F20" s="403">
        <f t="shared" si="0"/>
        <v>1.8463679531510319E-2</v>
      </c>
      <c r="G20" s="6"/>
    </row>
    <row r="21" spans="1:7" s="4" customFormat="1" ht="15.75" customHeight="1" x14ac:dyDescent="0.2">
      <c r="A21" s="374" t="str">
        <f>A89</f>
        <v>1.5. Auxílio Alimentação (mensal)</v>
      </c>
      <c r="B21" s="44"/>
      <c r="C21" s="46"/>
      <c r="D21" s="46"/>
      <c r="E21" s="399">
        <f>F93</f>
        <v>206.99999999999997</v>
      </c>
      <c r="F21" s="403">
        <f t="shared" si="0"/>
        <v>6.4757574114444145E-3</v>
      </c>
      <c r="G21" s="6"/>
    </row>
    <row r="22" spans="1:7" s="11" customFormat="1" ht="15.75" customHeight="1" x14ac:dyDescent="0.2">
      <c r="A22" s="477" t="str">
        <f>A97</f>
        <v>2. Uniformes e Equipamentos de Proteção Individual</v>
      </c>
      <c r="B22" s="478"/>
      <c r="C22" s="478"/>
      <c r="D22" s="107"/>
      <c r="E22" s="398">
        <f>+F129</f>
        <v>909.8857499999998</v>
      </c>
      <c r="F22" s="402">
        <f t="shared" si="0"/>
        <v>2.8464731348454876E-2</v>
      </c>
      <c r="G22" s="43"/>
    </row>
    <row r="23" spans="1:7" s="11" customFormat="1" ht="15.75" customHeight="1" x14ac:dyDescent="0.2">
      <c r="A23" s="114" t="str">
        <f>A131</f>
        <v>3. Veículos e Equipamentos</v>
      </c>
      <c r="B23" s="115"/>
      <c r="C23" s="107"/>
      <c r="D23" s="107"/>
      <c r="E23" s="398">
        <f>E24</f>
        <v>14183.199123525044</v>
      </c>
      <c r="F23" s="402">
        <f t="shared" si="0"/>
        <v>0.4437051055176775</v>
      </c>
      <c r="G23" s="43"/>
    </row>
    <row r="24" spans="1:7" s="4" customFormat="1" ht="15.75" customHeight="1" x14ac:dyDescent="0.2">
      <c r="A24" s="438" t="str">
        <f>A133</f>
        <v>3.1. Caminhão Toco Caçamba 32 m³</v>
      </c>
      <c r="B24" s="45"/>
      <c r="C24" s="46"/>
      <c r="D24" s="46"/>
      <c r="E24" s="399">
        <f>SUM(E25:E30)</f>
        <v>14183.199123525044</v>
      </c>
      <c r="F24" s="404">
        <f t="shared" si="0"/>
        <v>0.4437051055176775</v>
      </c>
      <c r="G24" s="6"/>
    </row>
    <row r="25" spans="1:7" s="4" customFormat="1" ht="15.75" customHeight="1" x14ac:dyDescent="0.2">
      <c r="A25" s="59" t="str">
        <f>A135</f>
        <v>3.1.1. Depreciação</v>
      </c>
      <c r="B25" s="45"/>
      <c r="C25" s="46"/>
      <c r="D25" s="46"/>
      <c r="E25" s="399">
        <f>F149</f>
        <v>2411.2383261375003</v>
      </c>
      <c r="F25" s="404">
        <f t="shared" si="0"/>
        <v>7.5432823484269301E-2</v>
      </c>
      <c r="G25" s="6"/>
    </row>
    <row r="26" spans="1:7" s="4" customFormat="1" ht="15.75" customHeight="1" x14ac:dyDescent="0.2">
      <c r="A26" s="59" t="str">
        <f>A151</f>
        <v>3.1.2. Remuneração do Capital</v>
      </c>
      <c r="B26" s="45"/>
      <c r="C26" s="46"/>
      <c r="D26" s="46"/>
      <c r="E26" s="399">
        <f>F165</f>
        <v>3594.6567466399215</v>
      </c>
      <c r="F26" s="404">
        <f t="shared" si="0"/>
        <v>0.1124547104765804</v>
      </c>
      <c r="G26" s="6"/>
    </row>
    <row r="27" spans="1:7" s="4" customFormat="1" ht="15.75" customHeight="1" x14ac:dyDescent="0.2">
      <c r="A27" s="59" t="str">
        <f>A167</f>
        <v>3.1.3. Impostos e Seguros</v>
      </c>
      <c r="B27" s="45"/>
      <c r="C27" s="46"/>
      <c r="D27" s="46"/>
      <c r="E27" s="399">
        <f>F173</f>
        <v>289.41518124999999</v>
      </c>
      <c r="F27" s="404">
        <f t="shared" si="0"/>
        <v>9.0540217631121557E-3</v>
      </c>
      <c r="G27" s="6"/>
    </row>
    <row r="28" spans="1:7" s="4" customFormat="1" ht="15.75" customHeight="1" x14ac:dyDescent="0.2">
      <c r="A28" s="59" t="str">
        <f>A176</f>
        <v>3.1.4. Consumos</v>
      </c>
      <c r="B28" s="45"/>
      <c r="C28" s="46"/>
      <c r="D28" s="46"/>
      <c r="E28" s="399">
        <f>F195</f>
        <v>5477.1103965809552</v>
      </c>
      <c r="F28" s="404">
        <f t="shared" si="0"/>
        <v>0.17134511228965402</v>
      </c>
      <c r="G28" s="6"/>
    </row>
    <row r="29" spans="1:7" s="4" customFormat="1" ht="15.75" customHeight="1" x14ac:dyDescent="0.2">
      <c r="A29" s="59" t="str">
        <f>A196</f>
        <v>3.1.5. Manutenção</v>
      </c>
      <c r="B29" s="45"/>
      <c r="C29" s="46"/>
      <c r="D29" s="46"/>
      <c r="E29" s="399">
        <f>F199</f>
        <v>2051.1291666666671</v>
      </c>
      <c r="F29" s="404">
        <f t="shared" si="0"/>
        <v>6.416722175300231E-2</v>
      </c>
      <c r="G29" s="6"/>
    </row>
    <row r="30" spans="1:7" s="4" customFormat="1" ht="15.75" customHeight="1" x14ac:dyDescent="0.2">
      <c r="A30" s="59" t="str">
        <f>A201</f>
        <v>3.1.6. Pneus</v>
      </c>
      <c r="B30" s="45"/>
      <c r="C30" s="46"/>
      <c r="D30" s="46"/>
      <c r="E30" s="399">
        <f>F208</f>
        <v>359.64930625000011</v>
      </c>
      <c r="F30" s="404">
        <f t="shared" si="0"/>
        <v>1.1251215751059326E-2</v>
      </c>
      <c r="G30" s="6"/>
    </row>
    <row r="31" spans="1:7" s="11" customFormat="1" ht="15.75" customHeight="1" x14ac:dyDescent="0.2">
      <c r="A31" s="114" t="str">
        <f>A212</f>
        <v>4. Ferramentas e Materiais de Consumo</v>
      </c>
      <c r="B31" s="115"/>
      <c r="C31" s="107"/>
      <c r="D31" s="107"/>
      <c r="E31" s="398">
        <f>+F222</f>
        <v>43.883333333333326</v>
      </c>
      <c r="F31" s="402">
        <f t="shared" si="0"/>
        <v>1.3728397153247296E-3</v>
      </c>
      <c r="G31" s="43"/>
    </row>
    <row r="32" spans="1:7" s="11" customFormat="1" ht="15.75" customHeight="1" x14ac:dyDescent="0.2">
      <c r="A32" s="114" t="str">
        <f>A224</f>
        <v>5. Monitoramento da Frota</v>
      </c>
      <c r="B32" s="115"/>
      <c r="C32" s="107"/>
      <c r="D32" s="107"/>
      <c r="E32" s="398">
        <f>+F233</f>
        <v>107.52499999999999</v>
      </c>
      <c r="F32" s="402">
        <f t="shared" si="0"/>
        <v>3.3637962109447379E-3</v>
      </c>
      <c r="G32" s="43"/>
    </row>
    <row r="33" spans="1:7" s="11" customFormat="1" ht="15.75" customHeight="1" thickBot="1" x14ac:dyDescent="0.25">
      <c r="A33" s="114" t="str">
        <f>A237</f>
        <v>6. Benefícios e Despesas Indiretas - BDI</v>
      </c>
      <c r="B33" s="115"/>
      <c r="C33" s="107"/>
      <c r="D33" s="107"/>
      <c r="E33" s="400">
        <f>+F243</f>
        <v>6886.6243359072569</v>
      </c>
      <c r="F33" s="402">
        <f t="shared" si="0"/>
        <v>0.21544013808253573</v>
      </c>
      <c r="G33" s="43"/>
    </row>
    <row r="34" spans="1:7" s="4" customFormat="1" ht="15.75" customHeight="1" thickBot="1" x14ac:dyDescent="0.25">
      <c r="A34" s="41" t="s">
        <v>218</v>
      </c>
      <c r="B34" s="42"/>
      <c r="C34" s="26"/>
      <c r="D34" s="26"/>
      <c r="E34" s="401">
        <f>E16+E22+E23+E31+E32+E33</f>
        <v>31965.372827922027</v>
      </c>
      <c r="F34" s="405">
        <f>F16+F22+F23+F31+F32+F33</f>
        <v>0.99999999999999989</v>
      </c>
      <c r="G34" s="6"/>
    </row>
    <row r="35" spans="1:7" x14ac:dyDescent="0.2">
      <c r="D35" s="9"/>
      <c r="E35" s="9"/>
      <c r="F35" s="9"/>
    </row>
    <row r="36" spans="1:7" ht="13.5" thickBot="1" x14ac:dyDescent="0.25"/>
    <row r="37" spans="1:7" s="4" customFormat="1" ht="15" customHeight="1" thickBot="1" x14ac:dyDescent="0.25">
      <c r="A37" s="488" t="s">
        <v>90</v>
      </c>
      <c r="B37" s="489"/>
      <c r="C37" s="489"/>
      <c r="D37" s="489"/>
      <c r="E37" s="490"/>
      <c r="F37" s="10"/>
      <c r="G37" s="6"/>
    </row>
    <row r="38" spans="1:7" s="4" customFormat="1" ht="15" customHeight="1" thickBot="1" x14ac:dyDescent="0.25">
      <c r="A38" s="485" t="s">
        <v>32</v>
      </c>
      <c r="B38" s="486"/>
      <c r="C38" s="486"/>
      <c r="D38" s="487"/>
      <c r="E38" s="377" t="s">
        <v>33</v>
      </c>
      <c r="F38" s="10"/>
      <c r="G38" s="6"/>
    </row>
    <row r="39" spans="1:7" s="4" customFormat="1" ht="15" customHeight="1" x14ac:dyDescent="0.2">
      <c r="A39" s="375" t="str">
        <f>+A52</f>
        <v>1.1. Coletor de Resíduos Sólidos</v>
      </c>
      <c r="B39" s="66"/>
      <c r="C39" s="66"/>
      <c r="D39" s="67"/>
      <c r="E39" s="68">
        <f>C59</f>
        <v>2</v>
      </c>
      <c r="F39" s="10"/>
      <c r="G39" s="6"/>
    </row>
    <row r="40" spans="1:7" s="4" customFormat="1" ht="15" customHeight="1" x14ac:dyDescent="0.2">
      <c r="A40" s="376" t="str">
        <f>+A62</f>
        <v>1.2. Motorista de Caminhão</v>
      </c>
      <c r="B40" s="60"/>
      <c r="C40" s="60"/>
      <c r="D40" s="69"/>
      <c r="E40" s="63">
        <f>C71</f>
        <v>1</v>
      </c>
      <c r="F40" s="10"/>
      <c r="G40" s="6"/>
    </row>
    <row r="41" spans="1:7" s="4" customFormat="1" ht="15" customHeight="1" thickBot="1" x14ac:dyDescent="0.25">
      <c r="A41" s="64" t="s">
        <v>52</v>
      </c>
      <c r="B41" s="65"/>
      <c r="C41" s="65"/>
      <c r="D41" s="70"/>
      <c r="E41" s="71">
        <f>SUM(E39:E40)</f>
        <v>3</v>
      </c>
      <c r="F41" s="10"/>
      <c r="G41" s="6"/>
    </row>
    <row r="42" spans="1:7" s="4" customFormat="1" ht="15" customHeight="1" thickBot="1" x14ac:dyDescent="0.25">
      <c r="A42" s="108"/>
      <c r="B42" s="109"/>
      <c r="C42" s="53"/>
      <c r="D42" s="53"/>
      <c r="E42" s="110"/>
      <c r="F42" s="10"/>
      <c r="G42" s="6"/>
    </row>
    <row r="43" spans="1:7" s="4" customFormat="1" ht="15" customHeight="1" x14ac:dyDescent="0.2">
      <c r="A43" s="475" t="s">
        <v>49</v>
      </c>
      <c r="B43" s="476"/>
      <c r="C43" s="476"/>
      <c r="D43" s="476"/>
      <c r="E43" s="377" t="s">
        <v>33</v>
      </c>
      <c r="F43" s="9"/>
      <c r="G43" s="6"/>
    </row>
    <row r="44" spans="1:7" s="4" customFormat="1" ht="15" customHeight="1" thickBot="1" x14ac:dyDescent="0.25">
      <c r="A44" s="378" t="str">
        <f>+A133</f>
        <v>3.1. Caminhão Toco Caçamba 32 m³</v>
      </c>
      <c r="B44" s="111"/>
      <c r="C44" s="111"/>
      <c r="D44" s="112"/>
      <c r="E44" s="113">
        <f>C148</f>
        <v>1</v>
      </c>
      <c r="F44" s="9"/>
      <c r="G44" s="6"/>
    </row>
    <row r="45" spans="1:7" s="4" customFormat="1" ht="15" customHeight="1" x14ac:dyDescent="0.2">
      <c r="A45" s="53"/>
      <c r="B45" s="53"/>
      <c r="C45" s="53"/>
      <c r="D45" s="9"/>
      <c r="E45" s="198"/>
      <c r="F45" s="9"/>
      <c r="G45" s="6"/>
    </row>
    <row r="46" spans="1:7" s="4" customFormat="1" ht="13.5" thickBot="1" x14ac:dyDescent="0.25">
      <c r="A46" s="53"/>
      <c r="B46" s="53"/>
      <c r="C46" s="53"/>
      <c r="D46" s="9"/>
      <c r="E46" s="61"/>
      <c r="F46" s="9"/>
      <c r="G46" s="6"/>
    </row>
    <row r="47" spans="1:7" s="11" customFormat="1" ht="13.5" thickBot="1" x14ac:dyDescent="0.25">
      <c r="A47" s="200" t="s">
        <v>363</v>
      </c>
      <c r="B47" s="425">
        <v>0.69</v>
      </c>
      <c r="C47" s="53"/>
      <c r="D47" s="9"/>
      <c r="E47" s="61"/>
      <c r="F47" s="9"/>
      <c r="G47" s="43"/>
    </row>
    <row r="48" spans="1:7" s="11" customFormat="1" ht="13.5" thickBot="1" x14ac:dyDescent="0.25">
      <c r="A48" s="442" t="s">
        <v>388</v>
      </c>
      <c r="B48" s="425">
        <v>0.69</v>
      </c>
      <c r="C48" s="53"/>
      <c r="D48" s="9"/>
      <c r="E48" s="61"/>
      <c r="F48" s="9"/>
      <c r="G48" s="43"/>
    </row>
    <row r="49" spans="1:7" s="4" customFormat="1" ht="15.75" customHeight="1" x14ac:dyDescent="0.2">
      <c r="A49" s="53"/>
      <c r="B49" s="53"/>
      <c r="C49" s="53"/>
      <c r="D49" s="9"/>
      <c r="E49" s="61"/>
      <c r="F49" s="9"/>
      <c r="G49" s="6"/>
    </row>
    <row r="50" spans="1:7" ht="13.15" customHeight="1" x14ac:dyDescent="0.2">
      <c r="A50" s="11" t="s">
        <v>40</v>
      </c>
    </row>
    <row r="51" spans="1:7" ht="11.25" customHeight="1" x14ac:dyDescent="0.2"/>
    <row r="52" spans="1:7" ht="13.9" customHeight="1" thickBot="1" x14ac:dyDescent="0.25">
      <c r="A52" s="7" t="s">
        <v>356</v>
      </c>
    </row>
    <row r="53" spans="1:7" ht="13.9" customHeight="1" thickBot="1" x14ac:dyDescent="0.25">
      <c r="A53" s="54" t="s">
        <v>57</v>
      </c>
      <c r="B53" s="55" t="s">
        <v>58</v>
      </c>
      <c r="C53" s="55" t="s">
        <v>33</v>
      </c>
      <c r="D53" s="56" t="s">
        <v>214</v>
      </c>
      <c r="E53" s="56" t="s">
        <v>59</v>
      </c>
      <c r="F53" s="57" t="s">
        <v>60</v>
      </c>
    </row>
    <row r="54" spans="1:7" ht="13.15" customHeight="1" x14ac:dyDescent="0.2">
      <c r="A54" s="13" t="s">
        <v>194</v>
      </c>
      <c r="B54" s="14" t="s">
        <v>6</v>
      </c>
      <c r="C54" s="14">
        <v>1</v>
      </c>
      <c r="D54" s="76">
        <v>1687.48</v>
      </c>
      <c r="E54" s="15">
        <f>C54*D54</f>
        <v>1687.48</v>
      </c>
    </row>
    <row r="55" spans="1:7" x14ac:dyDescent="0.2">
      <c r="A55" s="16" t="s">
        <v>0</v>
      </c>
      <c r="B55" s="17" t="s">
        <v>1</v>
      </c>
      <c r="C55" s="17">
        <v>40</v>
      </c>
      <c r="D55" s="72">
        <f>SUM(E54:E54)</f>
        <v>1687.48</v>
      </c>
      <c r="E55" s="18">
        <f>C55*D55/100</f>
        <v>674.99199999999996</v>
      </c>
    </row>
    <row r="56" spans="1:7" x14ac:dyDescent="0.2">
      <c r="A56" s="98" t="s">
        <v>2</v>
      </c>
      <c r="B56" s="99"/>
      <c r="C56" s="99"/>
      <c r="D56" s="100"/>
      <c r="E56" s="101">
        <f>SUM(E54:E55)</f>
        <v>2362.4719999999998</v>
      </c>
    </row>
    <row r="57" spans="1:7" x14ac:dyDescent="0.2">
      <c r="A57" s="16" t="s">
        <v>3</v>
      </c>
      <c r="B57" s="17" t="s">
        <v>1</v>
      </c>
      <c r="C57" s="117">
        <f>'2.Encargos Sociais'!$C$37*100</f>
        <v>70.595951999999997</v>
      </c>
      <c r="D57" s="18">
        <f>E56</f>
        <v>2362.4719999999998</v>
      </c>
      <c r="E57" s="18">
        <f>D57*C57/100</f>
        <v>1667.8095991334399</v>
      </c>
    </row>
    <row r="58" spans="1:7" x14ac:dyDescent="0.2">
      <c r="A58" s="98" t="s">
        <v>66</v>
      </c>
      <c r="B58" s="99"/>
      <c r="C58" s="99"/>
      <c r="D58" s="100"/>
      <c r="E58" s="101">
        <f>E56+E57</f>
        <v>4030.2815991334396</v>
      </c>
    </row>
    <row r="59" spans="1:7" ht="13.5" thickBot="1" x14ac:dyDescent="0.25">
      <c r="A59" s="16" t="s">
        <v>4</v>
      </c>
      <c r="B59" s="17" t="s">
        <v>5</v>
      </c>
      <c r="C59" s="75">
        <v>2</v>
      </c>
      <c r="D59" s="18">
        <f>E58</f>
        <v>4030.2815991334396</v>
      </c>
      <c r="E59" s="18">
        <f>C59*D59</f>
        <v>8060.5631982668792</v>
      </c>
      <c r="G59" s="6"/>
    </row>
    <row r="60" spans="1:7" ht="13.9" customHeight="1" thickBot="1" x14ac:dyDescent="0.25">
      <c r="D60" s="103" t="s">
        <v>179</v>
      </c>
      <c r="E60" s="394">
        <f>$B$47</f>
        <v>0.69</v>
      </c>
      <c r="F60" s="21">
        <f>E59*E60</f>
        <v>5561.7886068041462</v>
      </c>
      <c r="G60" s="6"/>
    </row>
    <row r="61" spans="1:7" ht="11.25" customHeight="1" x14ac:dyDescent="0.2"/>
    <row r="62" spans="1:7" ht="13.5" thickBot="1" x14ac:dyDescent="0.25">
      <c r="A62" s="7" t="s">
        <v>357</v>
      </c>
    </row>
    <row r="63" spans="1:7" s="12" customFormat="1" ht="13.15" customHeight="1" thickBot="1" x14ac:dyDescent="0.25">
      <c r="A63" s="54" t="s">
        <v>57</v>
      </c>
      <c r="B63" s="55" t="s">
        <v>58</v>
      </c>
      <c r="C63" s="55" t="s">
        <v>33</v>
      </c>
      <c r="D63" s="56" t="s">
        <v>214</v>
      </c>
      <c r="E63" s="56" t="s">
        <v>59</v>
      </c>
      <c r="F63" s="57" t="s">
        <v>60</v>
      </c>
      <c r="G63" s="10"/>
    </row>
    <row r="64" spans="1:7" x14ac:dyDescent="0.2">
      <c r="A64" s="233" t="s">
        <v>263</v>
      </c>
      <c r="B64" s="14" t="s">
        <v>6</v>
      </c>
      <c r="C64" s="14">
        <v>1</v>
      </c>
      <c r="D64" s="76">
        <v>2455.61</v>
      </c>
      <c r="E64" s="15">
        <f>C64*D64</f>
        <v>2455.61</v>
      </c>
    </row>
    <row r="65" spans="1:7" x14ac:dyDescent="0.2">
      <c r="A65" s="233" t="s">
        <v>264</v>
      </c>
      <c r="B65" s="14" t="s">
        <v>6</v>
      </c>
      <c r="C65" s="14">
        <v>1</v>
      </c>
      <c r="D65" s="76">
        <v>1320</v>
      </c>
      <c r="E65" s="15"/>
    </row>
    <row r="66" spans="1:7" x14ac:dyDescent="0.2">
      <c r="A66" s="16" t="s">
        <v>195</v>
      </c>
      <c r="B66" s="17"/>
      <c r="C66" s="78">
        <v>1</v>
      </c>
      <c r="D66" s="18"/>
      <c r="E66" s="18"/>
    </row>
    <row r="67" spans="1:7" x14ac:dyDescent="0.2">
      <c r="A67" s="16" t="s">
        <v>0</v>
      </c>
      <c r="B67" s="17" t="s">
        <v>1</v>
      </c>
      <c r="C67" s="75">
        <v>20</v>
      </c>
      <c r="D67" s="72">
        <f>IF(C66=2,SUM(E64:E65),IF(C66=1,(SUM(E64:E65))*D65/D64,0))</f>
        <v>1320</v>
      </c>
      <c r="E67" s="18">
        <f>C67*D67/100</f>
        <v>264</v>
      </c>
    </row>
    <row r="68" spans="1:7" s="11" customFormat="1" x14ac:dyDescent="0.2">
      <c r="A68" s="89" t="s">
        <v>2</v>
      </c>
      <c r="B68" s="99"/>
      <c r="C68" s="99"/>
      <c r="D68" s="100"/>
      <c r="E68" s="91">
        <f>SUM(E64:E67)</f>
        <v>2719.61</v>
      </c>
      <c r="F68" s="43"/>
      <c r="G68" s="43"/>
    </row>
    <row r="69" spans="1:7" x14ac:dyDescent="0.2">
      <c r="A69" s="16" t="s">
        <v>3</v>
      </c>
      <c r="B69" s="17" t="s">
        <v>1</v>
      </c>
      <c r="C69" s="117">
        <f>'2.Encargos Sociais'!$C$37*100</f>
        <v>70.595951999999997</v>
      </c>
      <c r="D69" s="18">
        <f>E68</f>
        <v>2719.61</v>
      </c>
      <c r="E69" s="18">
        <f>D69*C69/100</f>
        <v>1919.9345701871998</v>
      </c>
    </row>
    <row r="70" spans="1:7" s="11" customFormat="1" x14ac:dyDescent="0.2">
      <c r="A70" s="89" t="s">
        <v>229</v>
      </c>
      <c r="B70" s="206"/>
      <c r="C70" s="206"/>
      <c r="D70" s="207"/>
      <c r="E70" s="91">
        <f>E68+E69</f>
        <v>4639.5445701871995</v>
      </c>
      <c r="F70" s="43"/>
      <c r="G70" s="43"/>
    </row>
    <row r="71" spans="1:7" ht="13.5" thickBot="1" x14ac:dyDescent="0.25">
      <c r="A71" s="16" t="s">
        <v>4</v>
      </c>
      <c r="B71" s="17" t="s">
        <v>5</v>
      </c>
      <c r="C71" s="75">
        <v>1</v>
      </c>
      <c r="D71" s="18">
        <f>E70</f>
        <v>4639.5445701871995</v>
      </c>
      <c r="E71" s="18">
        <f>C71*D71</f>
        <v>4639.5445701871995</v>
      </c>
    </row>
    <row r="72" spans="1:7" ht="13.5" thickBot="1" x14ac:dyDescent="0.25">
      <c r="D72" s="103" t="s">
        <v>179</v>
      </c>
      <c r="E72" s="394">
        <f>$B$47</f>
        <v>0.69</v>
      </c>
      <c r="F72" s="21">
        <f>E71*E72</f>
        <v>3201.2857534291675</v>
      </c>
    </row>
    <row r="73" spans="1:7" ht="11.25" customHeight="1" x14ac:dyDescent="0.2"/>
    <row r="74" spans="1:7" ht="11.25" customHeight="1" x14ac:dyDescent="0.2">
      <c r="G74" s="9"/>
    </row>
    <row r="75" spans="1:7" ht="13.5" thickBot="1" x14ac:dyDescent="0.25">
      <c r="A75" s="7" t="s">
        <v>358</v>
      </c>
      <c r="B75" s="81"/>
      <c r="D75" s="9"/>
      <c r="E75" s="9"/>
      <c r="G75" s="9"/>
    </row>
    <row r="76" spans="1:7" ht="13.5" thickBot="1" x14ac:dyDescent="0.25">
      <c r="A76" s="54" t="s">
        <v>57</v>
      </c>
      <c r="B76" s="55" t="s">
        <v>58</v>
      </c>
      <c r="C76" s="55" t="s">
        <v>33</v>
      </c>
      <c r="D76" s="56" t="s">
        <v>214</v>
      </c>
      <c r="E76" s="56" t="s">
        <v>59</v>
      </c>
      <c r="F76" s="57" t="s">
        <v>60</v>
      </c>
      <c r="G76" s="9"/>
    </row>
    <row r="77" spans="1:7" x14ac:dyDescent="0.2">
      <c r="A77" s="16" t="s">
        <v>85</v>
      </c>
      <c r="B77" s="17" t="s">
        <v>28</v>
      </c>
      <c r="C77" s="82">
        <v>1</v>
      </c>
      <c r="D77" s="80">
        <v>5</v>
      </c>
      <c r="E77" s="18"/>
      <c r="G77" s="9"/>
    </row>
    <row r="78" spans="1:7" x14ac:dyDescent="0.2">
      <c r="A78" s="16" t="s">
        <v>86</v>
      </c>
      <c r="B78" s="17" t="s">
        <v>87</v>
      </c>
      <c r="C78" s="79">
        <v>24</v>
      </c>
      <c r="D78" s="18"/>
      <c r="E78" s="18"/>
      <c r="G78" s="9"/>
    </row>
    <row r="79" spans="1:7" x14ac:dyDescent="0.2">
      <c r="A79" s="16" t="s">
        <v>67</v>
      </c>
      <c r="B79" s="17" t="s">
        <v>7</v>
      </c>
      <c r="C79" s="36">
        <f>$C$78*2*C59</f>
        <v>96</v>
      </c>
      <c r="D79" s="15">
        <f>IFERROR((($C$78*2*$D$77)-(E54*0.06*C78/26))/($C$78*2),"-")</f>
        <v>3.0529076923076928</v>
      </c>
      <c r="E79" s="18">
        <f>IFERROR(C79*D79,"-")</f>
        <v>293.07913846153849</v>
      </c>
      <c r="G79" s="9"/>
    </row>
    <row r="80" spans="1:7" ht="13.5" thickBot="1" x14ac:dyDescent="0.25">
      <c r="A80" s="13" t="s">
        <v>37</v>
      </c>
      <c r="B80" s="14" t="s">
        <v>7</v>
      </c>
      <c r="C80" s="36">
        <f>$C$78*2*(C71)</f>
        <v>48</v>
      </c>
      <c r="D80" s="15">
        <f>IFERROR((($C$78*2*$D$77)-(E64*0.06*C78/26))/($C$78*2),"-")</f>
        <v>2.1666038461538459</v>
      </c>
      <c r="E80" s="15">
        <f>IFERROR(C80*D80,"-")</f>
        <v>103.9969846153846</v>
      </c>
      <c r="G80" s="9"/>
    </row>
    <row r="81" spans="1:7" ht="13.5" thickBot="1" x14ac:dyDescent="0.25">
      <c r="D81" s="103" t="s">
        <v>179</v>
      </c>
      <c r="E81" s="380">
        <f>$B$47</f>
        <v>0.69</v>
      </c>
      <c r="F81" s="22">
        <f>SUM(E79:E80)*E81</f>
        <v>273.98252492307688</v>
      </c>
      <c r="G81" s="9"/>
    </row>
    <row r="82" spans="1:7" ht="11.25" customHeight="1" x14ac:dyDescent="0.2">
      <c r="G82" s="9"/>
    </row>
    <row r="83" spans="1:7" ht="13.5" thickBot="1" x14ac:dyDescent="0.25">
      <c r="A83" s="7" t="s">
        <v>359</v>
      </c>
      <c r="F83" s="23"/>
      <c r="G83" s="9"/>
    </row>
    <row r="84" spans="1:7" ht="13.5" thickBot="1" x14ac:dyDescent="0.25">
      <c r="A84" s="54" t="s">
        <v>57</v>
      </c>
      <c r="B84" s="55" t="s">
        <v>58</v>
      </c>
      <c r="C84" s="55" t="s">
        <v>33</v>
      </c>
      <c r="D84" s="56" t="s">
        <v>214</v>
      </c>
      <c r="E84" s="56" t="s">
        <v>59</v>
      </c>
      <c r="F84" s="57" t="s">
        <v>60</v>
      </c>
      <c r="G84" s="9"/>
    </row>
    <row r="85" spans="1:7" x14ac:dyDescent="0.2">
      <c r="A85" s="16" t="str">
        <f>+A79</f>
        <v>Coletor</v>
      </c>
      <c r="B85" s="17" t="s">
        <v>8</v>
      </c>
      <c r="C85" s="88">
        <f>C78*(E39)</f>
        <v>48</v>
      </c>
      <c r="D85" s="77">
        <v>17.82</v>
      </c>
      <c r="E85" s="47">
        <f>C85*D85</f>
        <v>855.36</v>
      </c>
      <c r="F85" s="23"/>
      <c r="G85" s="9"/>
    </row>
    <row r="86" spans="1:7" ht="13.5" thickBot="1" x14ac:dyDescent="0.25">
      <c r="A86" s="16" t="str">
        <f>+A80</f>
        <v>Motorista</v>
      </c>
      <c r="B86" s="17" t="s">
        <v>8</v>
      </c>
      <c r="C86" s="88">
        <f>C78*(E40)</f>
        <v>24</v>
      </c>
      <c r="D86" s="77">
        <v>0</v>
      </c>
      <c r="E86" s="47">
        <f>C86*D86</f>
        <v>0</v>
      </c>
      <c r="F86" s="23"/>
      <c r="G86" s="9"/>
    </row>
    <row r="87" spans="1:7" ht="13.5" thickBot="1" x14ac:dyDescent="0.25">
      <c r="D87" s="103" t="s">
        <v>179</v>
      </c>
      <c r="E87" s="380">
        <f>$B$47</f>
        <v>0.69</v>
      </c>
      <c r="F87" s="22">
        <f>SUM(E85:E86)*E87</f>
        <v>590.19839999999999</v>
      </c>
      <c r="G87" s="9"/>
    </row>
    <row r="88" spans="1:7" x14ac:dyDescent="0.2">
      <c r="G88" s="9"/>
    </row>
    <row r="89" spans="1:7" ht="13.5" thickBot="1" x14ac:dyDescent="0.25">
      <c r="A89" s="7" t="s">
        <v>360</v>
      </c>
      <c r="F89" s="23"/>
      <c r="G89" s="9"/>
    </row>
    <row r="90" spans="1:7" ht="13.5" thickBot="1" x14ac:dyDescent="0.25">
      <c r="A90" s="54" t="s">
        <v>57</v>
      </c>
      <c r="B90" s="55" t="s">
        <v>58</v>
      </c>
      <c r="C90" s="55" t="s">
        <v>33</v>
      </c>
      <c r="D90" s="56" t="s">
        <v>214</v>
      </c>
      <c r="E90" s="56" t="s">
        <v>59</v>
      </c>
      <c r="F90" s="57" t="s">
        <v>60</v>
      </c>
      <c r="G90" s="9"/>
    </row>
    <row r="91" spans="1:7" x14ac:dyDescent="0.2">
      <c r="A91" s="16" t="str">
        <f>+A85</f>
        <v>Coletor</v>
      </c>
      <c r="B91" s="17" t="s">
        <v>8</v>
      </c>
      <c r="C91" s="88">
        <f>E39</f>
        <v>2</v>
      </c>
      <c r="D91" s="77">
        <v>0</v>
      </c>
      <c r="E91" s="47">
        <f>C91*D91</f>
        <v>0</v>
      </c>
      <c r="F91" s="23"/>
      <c r="G91" s="9"/>
    </row>
    <row r="92" spans="1:7" ht="13.5" thickBot="1" x14ac:dyDescent="0.25">
      <c r="A92" s="16" t="str">
        <f>+A86</f>
        <v>Motorista</v>
      </c>
      <c r="B92" s="17" t="s">
        <v>8</v>
      </c>
      <c r="C92" s="88">
        <f>E40</f>
        <v>1</v>
      </c>
      <c r="D92" s="77">
        <v>300</v>
      </c>
      <c r="E92" s="47">
        <f>C92*D92</f>
        <v>300</v>
      </c>
      <c r="F92" s="23"/>
      <c r="G92" s="9"/>
    </row>
    <row r="93" spans="1:7" ht="13.5" thickBot="1" x14ac:dyDescent="0.25">
      <c r="D93" s="103" t="s">
        <v>179</v>
      </c>
      <c r="E93" s="380">
        <f>$B$47</f>
        <v>0.69</v>
      </c>
      <c r="F93" s="22">
        <f>SUM(E91:E92)*E93</f>
        <v>206.99999999999997</v>
      </c>
      <c r="G93" s="9"/>
    </row>
    <row r="94" spans="1:7" ht="13.5" thickBot="1" x14ac:dyDescent="0.25">
      <c r="G94" s="9"/>
    </row>
    <row r="95" spans="1:7" ht="13.5" thickBot="1" x14ac:dyDescent="0.25">
      <c r="A95" s="24" t="s">
        <v>88</v>
      </c>
      <c r="B95" s="25"/>
      <c r="C95" s="25"/>
      <c r="D95" s="26"/>
      <c r="E95" s="27"/>
      <c r="F95" s="22">
        <f>F93+F87+F81+F72+F60</f>
        <v>9834.2552851563905</v>
      </c>
      <c r="G95" s="9"/>
    </row>
    <row r="97" spans="1:7" x14ac:dyDescent="0.2">
      <c r="A97" s="11" t="s">
        <v>38</v>
      </c>
      <c r="G97" s="9"/>
    </row>
    <row r="98" spans="1:7" ht="11.25" customHeight="1" x14ac:dyDescent="0.2">
      <c r="G98" s="9"/>
    </row>
    <row r="99" spans="1:7" ht="13.9" customHeight="1" x14ac:dyDescent="0.2">
      <c r="A99" s="9" t="s">
        <v>180</v>
      </c>
      <c r="G99" s="9"/>
    </row>
    <row r="100" spans="1:7" ht="11.25" customHeight="1" thickBot="1" x14ac:dyDescent="0.25">
      <c r="G100" s="9"/>
    </row>
    <row r="101" spans="1:7" ht="27.75" customHeight="1" thickBot="1" x14ac:dyDescent="0.25">
      <c r="A101" s="54" t="s">
        <v>57</v>
      </c>
      <c r="B101" s="55" t="s">
        <v>58</v>
      </c>
      <c r="C101" s="208" t="s">
        <v>230</v>
      </c>
      <c r="D101" s="56" t="s">
        <v>214</v>
      </c>
      <c r="E101" s="56" t="s">
        <v>59</v>
      </c>
      <c r="F101" s="57" t="s">
        <v>60</v>
      </c>
      <c r="G101" s="9"/>
    </row>
    <row r="102" spans="1:7" x14ac:dyDescent="0.2">
      <c r="A102" s="13" t="s">
        <v>61</v>
      </c>
      <c r="B102" s="14" t="s">
        <v>8</v>
      </c>
      <c r="C102" s="62">
        <v>12</v>
      </c>
      <c r="D102" s="76">
        <v>294.5</v>
      </c>
      <c r="E102" s="15">
        <f>IFERROR(D102/C102,0)</f>
        <v>24.541666666666668</v>
      </c>
      <c r="G102" s="9"/>
    </row>
    <row r="103" spans="1:7" ht="13.15" customHeight="1" x14ac:dyDescent="0.2">
      <c r="A103" s="16" t="s">
        <v>25</v>
      </c>
      <c r="B103" s="17" t="s">
        <v>8</v>
      </c>
      <c r="C103" s="62">
        <v>3</v>
      </c>
      <c r="D103" s="76">
        <v>90</v>
      </c>
      <c r="E103" s="15">
        <f t="shared" ref="E103:E111" si="1">IFERROR(D103/C103,0)</f>
        <v>30</v>
      </c>
      <c r="G103" s="9"/>
    </row>
    <row r="104" spans="1:7" x14ac:dyDescent="0.2">
      <c r="A104" s="16" t="s">
        <v>26</v>
      </c>
      <c r="B104" s="17" t="s">
        <v>8</v>
      </c>
      <c r="C104" s="62">
        <v>3</v>
      </c>
      <c r="D104" s="76">
        <v>49</v>
      </c>
      <c r="E104" s="15">
        <f t="shared" si="1"/>
        <v>16.333333333333332</v>
      </c>
      <c r="G104" s="9"/>
    </row>
    <row r="105" spans="1:7" ht="13.15" customHeight="1" x14ac:dyDescent="0.2">
      <c r="A105" s="16" t="s">
        <v>364</v>
      </c>
      <c r="B105" s="17" t="s">
        <v>8</v>
      </c>
      <c r="C105" s="62">
        <v>3</v>
      </c>
      <c r="D105" s="76">
        <v>18.899999999999999</v>
      </c>
      <c r="E105" s="15">
        <f t="shared" si="1"/>
        <v>6.3</v>
      </c>
      <c r="G105" s="9"/>
    </row>
    <row r="106" spans="1:7" ht="13.9" customHeight="1" x14ac:dyDescent="0.2">
      <c r="A106" s="16" t="s">
        <v>63</v>
      </c>
      <c r="B106" s="17" t="s">
        <v>41</v>
      </c>
      <c r="C106" s="62">
        <v>3</v>
      </c>
      <c r="D106" s="76">
        <v>129</v>
      </c>
      <c r="E106" s="15">
        <f t="shared" si="1"/>
        <v>43</v>
      </c>
      <c r="G106" s="9"/>
    </row>
    <row r="107" spans="1:7" ht="13.15" customHeight="1" x14ac:dyDescent="0.2">
      <c r="A107" s="16" t="s">
        <v>89</v>
      </c>
      <c r="B107" s="17" t="s">
        <v>41</v>
      </c>
      <c r="C107" s="62">
        <v>3</v>
      </c>
      <c r="D107" s="76">
        <v>12.9</v>
      </c>
      <c r="E107" s="15">
        <f t="shared" si="1"/>
        <v>4.3</v>
      </c>
    </row>
    <row r="108" spans="1:7" x14ac:dyDescent="0.2">
      <c r="A108" s="16" t="s">
        <v>62</v>
      </c>
      <c r="B108" s="17" t="s">
        <v>8</v>
      </c>
      <c r="C108" s="62">
        <v>6</v>
      </c>
      <c r="D108" s="76">
        <v>219</v>
      </c>
      <c r="E108" s="15">
        <f t="shared" si="1"/>
        <v>36.5</v>
      </c>
    </row>
    <row r="109" spans="1:7" s="1" customFormat="1" x14ac:dyDescent="0.2">
      <c r="A109" s="2" t="s">
        <v>9</v>
      </c>
      <c r="B109" s="3" t="s">
        <v>8</v>
      </c>
      <c r="C109" s="62">
        <v>6</v>
      </c>
      <c r="D109" s="76">
        <v>39</v>
      </c>
      <c r="E109" s="15">
        <f t="shared" si="1"/>
        <v>6.5</v>
      </c>
      <c r="F109" s="37"/>
      <c r="G109" s="37"/>
    </row>
    <row r="110" spans="1:7" x14ac:dyDescent="0.2">
      <c r="A110" s="16" t="s">
        <v>27</v>
      </c>
      <c r="B110" s="17" t="s">
        <v>41</v>
      </c>
      <c r="C110" s="62">
        <v>1</v>
      </c>
      <c r="D110" s="76">
        <v>14</v>
      </c>
      <c r="E110" s="15">
        <f t="shared" si="1"/>
        <v>14</v>
      </c>
    </row>
    <row r="111" spans="1:7" ht="13.15" customHeight="1" x14ac:dyDescent="0.2">
      <c r="A111" s="16" t="s">
        <v>56</v>
      </c>
      <c r="B111" s="17" t="s">
        <v>42</v>
      </c>
      <c r="C111" s="62">
        <v>2</v>
      </c>
      <c r="D111" s="76">
        <v>16.899999999999999</v>
      </c>
      <c r="E111" s="15">
        <f t="shared" si="1"/>
        <v>8.4499999999999993</v>
      </c>
    </row>
    <row r="112" spans="1:7" x14ac:dyDescent="0.2">
      <c r="A112" s="16" t="s">
        <v>181</v>
      </c>
      <c r="B112" s="17" t="s">
        <v>108</v>
      </c>
      <c r="C112" s="62">
        <v>1</v>
      </c>
      <c r="D112" s="76">
        <v>260</v>
      </c>
      <c r="E112" s="18">
        <f t="shared" ref="E112:E113" si="2">C112*D112</f>
        <v>260</v>
      </c>
    </row>
    <row r="113" spans="1:7" ht="13.5" thickBot="1" x14ac:dyDescent="0.25">
      <c r="A113" s="16" t="s">
        <v>4</v>
      </c>
      <c r="B113" s="17" t="s">
        <v>5</v>
      </c>
      <c r="C113" s="62">
        <f>E39</f>
        <v>2</v>
      </c>
      <c r="D113" s="18">
        <f>+SUM(E102:E112)</f>
        <v>449.92499999999995</v>
      </c>
      <c r="E113" s="18">
        <f t="shared" si="2"/>
        <v>899.84999999999991</v>
      </c>
    </row>
    <row r="114" spans="1:7" ht="13.5" thickBot="1" x14ac:dyDescent="0.25">
      <c r="D114" s="103" t="s">
        <v>179</v>
      </c>
      <c r="E114" s="380">
        <f>$B$47</f>
        <v>0.69</v>
      </c>
      <c r="F114" s="104">
        <f>E113*E114</f>
        <v>620.89649999999983</v>
      </c>
    </row>
    <row r="115" spans="1:7" ht="11.25" customHeight="1" x14ac:dyDescent="0.2"/>
    <row r="116" spans="1:7" ht="13.9" customHeight="1" x14ac:dyDescent="0.2">
      <c r="A116" s="9" t="s">
        <v>182</v>
      </c>
    </row>
    <row r="117" spans="1:7" ht="11.25" customHeight="1" thickBot="1" x14ac:dyDescent="0.25"/>
    <row r="118" spans="1:7" ht="24.75" thickBot="1" x14ac:dyDescent="0.25">
      <c r="A118" s="54" t="s">
        <v>57</v>
      </c>
      <c r="B118" s="55" t="s">
        <v>58</v>
      </c>
      <c r="C118" s="208" t="s">
        <v>230</v>
      </c>
      <c r="D118" s="56" t="s">
        <v>214</v>
      </c>
      <c r="E118" s="56" t="s">
        <v>59</v>
      </c>
      <c r="F118" s="57" t="s">
        <v>60</v>
      </c>
    </row>
    <row r="119" spans="1:7" x14ac:dyDescent="0.2">
      <c r="A119" s="13" t="s">
        <v>61</v>
      </c>
      <c r="B119" s="14" t="s">
        <v>8</v>
      </c>
      <c r="C119" s="62">
        <v>12</v>
      </c>
      <c r="D119" s="15">
        <f>+D102</f>
        <v>294.5</v>
      </c>
      <c r="E119" s="15">
        <f>IFERROR(D119/C119,0)</f>
        <v>24.541666666666668</v>
      </c>
    </row>
    <row r="120" spans="1:7" x14ac:dyDescent="0.2">
      <c r="A120" s="16" t="s">
        <v>25</v>
      </c>
      <c r="B120" s="17" t="s">
        <v>8</v>
      </c>
      <c r="C120" s="62">
        <v>3</v>
      </c>
      <c r="D120" s="18">
        <f>+D103</f>
        <v>90</v>
      </c>
      <c r="E120" s="15">
        <f t="shared" ref="E120:E124" si="3">IFERROR(D120/C120,0)</f>
        <v>30</v>
      </c>
    </row>
    <row r="121" spans="1:7" x14ac:dyDescent="0.2">
      <c r="A121" s="16" t="s">
        <v>26</v>
      </c>
      <c r="B121" s="17" t="s">
        <v>8</v>
      </c>
      <c r="C121" s="62">
        <v>3</v>
      </c>
      <c r="D121" s="18">
        <f>+D104</f>
        <v>49</v>
      </c>
      <c r="E121" s="15">
        <f t="shared" si="3"/>
        <v>16.333333333333332</v>
      </c>
    </row>
    <row r="122" spans="1:7" x14ac:dyDescent="0.2">
      <c r="A122" s="16" t="s">
        <v>63</v>
      </c>
      <c r="B122" s="17" t="s">
        <v>41</v>
      </c>
      <c r="C122" s="62">
        <v>3</v>
      </c>
      <c r="D122" s="18">
        <f>+D106</f>
        <v>129</v>
      </c>
      <c r="E122" s="15">
        <f t="shared" si="3"/>
        <v>43</v>
      </c>
    </row>
    <row r="123" spans="1:7" x14ac:dyDescent="0.2">
      <c r="A123" s="16" t="s">
        <v>62</v>
      </c>
      <c r="B123" s="17" t="s">
        <v>8</v>
      </c>
      <c r="C123" s="62">
        <v>6</v>
      </c>
      <c r="D123" s="18">
        <f>+D108</f>
        <v>219</v>
      </c>
      <c r="E123" s="15">
        <f t="shared" si="3"/>
        <v>36.5</v>
      </c>
      <c r="G123" s="9"/>
    </row>
    <row r="124" spans="1:7" x14ac:dyDescent="0.2">
      <c r="A124" s="16" t="s">
        <v>56</v>
      </c>
      <c r="B124" s="17" t="s">
        <v>42</v>
      </c>
      <c r="C124" s="62">
        <v>2</v>
      </c>
      <c r="D124" s="18">
        <f>+D111</f>
        <v>16.899999999999999</v>
      </c>
      <c r="E124" s="15">
        <f t="shared" si="3"/>
        <v>8.4499999999999993</v>
      </c>
      <c r="G124" s="9"/>
    </row>
    <row r="125" spans="1:7" x14ac:dyDescent="0.2">
      <c r="A125" s="16" t="s">
        <v>181</v>
      </c>
      <c r="B125" s="17" t="s">
        <v>108</v>
      </c>
      <c r="C125" s="62">
        <v>1</v>
      </c>
      <c r="D125" s="18">
        <f>+D112</f>
        <v>260</v>
      </c>
      <c r="E125" s="18">
        <f t="shared" ref="E125:E126" si="4">C125*D125</f>
        <v>260</v>
      </c>
      <c r="G125" s="9"/>
    </row>
    <row r="126" spans="1:7" ht="13.5" thickBot="1" x14ac:dyDescent="0.25">
      <c r="A126" s="16" t="s">
        <v>4</v>
      </c>
      <c r="B126" s="17" t="s">
        <v>5</v>
      </c>
      <c r="C126" s="62">
        <f>E40</f>
        <v>1</v>
      </c>
      <c r="D126" s="18">
        <f>+SUM(E119:E125)</f>
        <v>418.82499999999999</v>
      </c>
      <c r="E126" s="18">
        <f t="shared" si="4"/>
        <v>418.82499999999999</v>
      </c>
      <c r="G126" s="9"/>
    </row>
    <row r="127" spans="1:7" ht="13.5" thickBot="1" x14ac:dyDescent="0.25">
      <c r="D127" s="103" t="s">
        <v>179</v>
      </c>
      <c r="E127" s="380">
        <f>$B$47</f>
        <v>0.69</v>
      </c>
      <c r="F127" s="104">
        <f>E126*E127</f>
        <v>288.98924999999997</v>
      </c>
      <c r="G127" s="9"/>
    </row>
    <row r="128" spans="1:7" ht="11.25" customHeight="1" thickBot="1" x14ac:dyDescent="0.25">
      <c r="G128" s="9"/>
    </row>
    <row r="129" spans="1:10" ht="13.5" thickBot="1" x14ac:dyDescent="0.25">
      <c r="A129" s="24" t="s">
        <v>183</v>
      </c>
      <c r="B129" s="28"/>
      <c r="C129" s="28"/>
      <c r="D129" s="29"/>
      <c r="E129" s="30"/>
      <c r="F129" s="21">
        <f>+F114+F127</f>
        <v>909.8857499999998</v>
      </c>
      <c r="G129" s="9"/>
    </row>
    <row r="130" spans="1:10" ht="11.25" customHeight="1" x14ac:dyDescent="0.2">
      <c r="G130" s="9"/>
    </row>
    <row r="131" spans="1:10" x14ac:dyDescent="0.2">
      <c r="A131" s="11" t="s">
        <v>47</v>
      </c>
      <c r="G131" s="9"/>
    </row>
    <row r="132" spans="1:10" ht="11.25" customHeight="1" x14ac:dyDescent="0.2">
      <c r="B132" s="93"/>
      <c r="G132" s="9"/>
    </row>
    <row r="133" spans="1:10" x14ac:dyDescent="0.2">
      <c r="A133" s="7" t="s">
        <v>389</v>
      </c>
      <c r="G133" s="9"/>
    </row>
    <row r="134" spans="1:10" ht="11.25" customHeight="1" x14ac:dyDescent="0.2">
      <c r="G134" s="9"/>
    </row>
    <row r="135" spans="1:10" ht="13.5" thickBot="1" x14ac:dyDescent="0.25">
      <c r="A135" s="93" t="s">
        <v>39</v>
      </c>
      <c r="G135" s="9"/>
    </row>
    <row r="136" spans="1:10" ht="13.5" thickBot="1" x14ac:dyDescent="0.25">
      <c r="A136" s="54" t="s">
        <v>57</v>
      </c>
      <c r="B136" s="55" t="s">
        <v>58</v>
      </c>
      <c r="C136" s="55" t="s">
        <v>33</v>
      </c>
      <c r="D136" s="56" t="s">
        <v>214</v>
      </c>
      <c r="E136" s="56" t="s">
        <v>59</v>
      </c>
      <c r="F136" s="57" t="s">
        <v>60</v>
      </c>
      <c r="G136" s="9"/>
    </row>
    <row r="137" spans="1:10" x14ac:dyDescent="0.2">
      <c r="A137" s="13" t="s">
        <v>94</v>
      </c>
      <c r="B137" s="14" t="s">
        <v>8</v>
      </c>
      <c r="C137" s="14">
        <v>1</v>
      </c>
      <c r="D137" s="76">
        <v>493365.75</v>
      </c>
      <c r="E137" s="15">
        <f>C137*D137</f>
        <v>493365.75</v>
      </c>
      <c r="G137" s="9"/>
    </row>
    <row r="138" spans="1:10" x14ac:dyDescent="0.2">
      <c r="A138" s="16" t="s">
        <v>91</v>
      </c>
      <c r="B138" s="17" t="s">
        <v>92</v>
      </c>
      <c r="C138" s="75">
        <v>10</v>
      </c>
      <c r="D138" s="72"/>
      <c r="E138" s="18"/>
      <c r="G138" s="9"/>
    </row>
    <row r="139" spans="1:10" x14ac:dyDescent="0.2">
      <c r="A139" s="16" t="s">
        <v>190</v>
      </c>
      <c r="B139" s="17" t="s">
        <v>92</v>
      </c>
      <c r="C139" s="75">
        <v>0</v>
      </c>
      <c r="D139" s="18"/>
      <c r="E139" s="18"/>
      <c r="F139" s="20"/>
      <c r="I139" s="74"/>
      <c r="J139" s="74"/>
    </row>
    <row r="140" spans="1:10" x14ac:dyDescent="0.2">
      <c r="A140" s="16" t="s">
        <v>93</v>
      </c>
      <c r="B140" s="17" t="s">
        <v>1</v>
      </c>
      <c r="C140" s="117">
        <f>IFERROR(VLOOKUP(C138,'5. Depreciação'!$A$3:$B$17,2,FALSE),0)</f>
        <v>65.180000000000007</v>
      </c>
      <c r="D140" s="18">
        <f>E137</f>
        <v>493365.75</v>
      </c>
      <c r="E140" s="18">
        <f>C140*D140/100</f>
        <v>321575.79585000005</v>
      </c>
    </row>
    <row r="141" spans="1:10" ht="13.5" thickBot="1" x14ac:dyDescent="0.25">
      <c r="A141" s="215" t="s">
        <v>43</v>
      </c>
      <c r="B141" s="216" t="s">
        <v>6</v>
      </c>
      <c r="C141" s="216">
        <f>C138*12</f>
        <v>120</v>
      </c>
      <c r="D141" s="217">
        <f>IF(C139&lt;=C138,E140,0)</f>
        <v>321575.79585000005</v>
      </c>
      <c r="E141" s="217">
        <f>IFERROR(D141/C141,0)</f>
        <v>2679.7982987500004</v>
      </c>
    </row>
    <row r="142" spans="1:10" ht="13.5" thickTop="1" x14ac:dyDescent="0.2">
      <c r="A142" s="13" t="s">
        <v>390</v>
      </c>
      <c r="B142" s="14" t="s">
        <v>8</v>
      </c>
      <c r="C142" s="14">
        <f>C137</f>
        <v>1</v>
      </c>
      <c r="D142" s="76">
        <v>150000</v>
      </c>
      <c r="E142" s="15">
        <f>C142*D142</f>
        <v>150000</v>
      </c>
      <c r="G142" s="9"/>
    </row>
    <row r="143" spans="1:10" x14ac:dyDescent="0.2">
      <c r="A143" s="16" t="s">
        <v>391</v>
      </c>
      <c r="B143" s="17" t="s">
        <v>92</v>
      </c>
      <c r="C143" s="75">
        <v>10</v>
      </c>
      <c r="D143" s="18"/>
      <c r="E143" s="18"/>
    </row>
    <row r="144" spans="1:10" x14ac:dyDescent="0.2">
      <c r="A144" s="16" t="s">
        <v>392</v>
      </c>
      <c r="B144" s="17" t="s">
        <v>92</v>
      </c>
      <c r="C144" s="75">
        <v>0</v>
      </c>
      <c r="D144" s="18"/>
      <c r="E144" s="18"/>
      <c r="F144" s="20"/>
      <c r="I144" s="74"/>
      <c r="J144" s="74"/>
    </row>
    <row r="145" spans="1:10" x14ac:dyDescent="0.2">
      <c r="A145" s="16" t="s">
        <v>393</v>
      </c>
      <c r="B145" s="17" t="s">
        <v>1</v>
      </c>
      <c r="C145" s="118">
        <f>IFERROR(VLOOKUP(C143,'5. Depreciação'!A3:B17,2,FALSE),0)</f>
        <v>65.180000000000007</v>
      </c>
      <c r="D145" s="18">
        <f>E142</f>
        <v>150000</v>
      </c>
      <c r="E145" s="18">
        <f>C145*D145/100</f>
        <v>97770.000000000015</v>
      </c>
    </row>
    <row r="146" spans="1:10" x14ac:dyDescent="0.2">
      <c r="A146" s="89" t="s">
        <v>394</v>
      </c>
      <c r="B146" s="90" t="s">
        <v>6</v>
      </c>
      <c r="C146" s="90">
        <f>C143*12</f>
        <v>120</v>
      </c>
      <c r="D146" s="91">
        <f>IF(C144&lt;=C143,E145,0)</f>
        <v>97770.000000000015</v>
      </c>
      <c r="E146" s="91">
        <f>IFERROR(D146/C146,0)</f>
        <v>814.75000000000011</v>
      </c>
    </row>
    <row r="147" spans="1:10" x14ac:dyDescent="0.2">
      <c r="A147" s="98" t="s">
        <v>233</v>
      </c>
      <c r="B147" s="99"/>
      <c r="C147" s="99"/>
      <c r="D147" s="100"/>
      <c r="E147" s="101">
        <f>E141+E146</f>
        <v>3494.5482987500004</v>
      </c>
    </row>
    <row r="148" spans="1:10" ht="13.5" thickBot="1" x14ac:dyDescent="0.25">
      <c r="A148" s="89" t="s">
        <v>234</v>
      </c>
      <c r="B148" s="90" t="s">
        <v>8</v>
      </c>
      <c r="C148" s="75">
        <v>1</v>
      </c>
      <c r="D148" s="91">
        <f>E147</f>
        <v>3494.5482987500004</v>
      </c>
      <c r="E148" s="101">
        <f>C148*D148</f>
        <v>3494.5482987500004</v>
      </c>
    </row>
    <row r="149" spans="1:10" ht="13.5" thickBot="1" x14ac:dyDescent="0.25">
      <c r="A149" s="213"/>
      <c r="B149" s="213"/>
      <c r="C149" s="213"/>
      <c r="D149" s="103" t="s">
        <v>179</v>
      </c>
      <c r="E149" s="379">
        <f>$B$48</f>
        <v>0.69</v>
      </c>
      <c r="F149" s="21">
        <f>E148*E149</f>
        <v>2411.2383261375003</v>
      </c>
    </row>
    <row r="150" spans="1:10" ht="11.25" customHeight="1" x14ac:dyDescent="0.2"/>
    <row r="151" spans="1:10" ht="13.5" thickBot="1" x14ac:dyDescent="0.25">
      <c r="A151" s="93" t="s">
        <v>99</v>
      </c>
    </row>
    <row r="152" spans="1:10" ht="13.5" thickBot="1" x14ac:dyDescent="0.25">
      <c r="A152" s="54" t="s">
        <v>57</v>
      </c>
      <c r="B152" s="55" t="s">
        <v>58</v>
      </c>
      <c r="C152" s="55" t="s">
        <v>33</v>
      </c>
      <c r="D152" s="56" t="s">
        <v>214</v>
      </c>
      <c r="E152" s="56" t="s">
        <v>59</v>
      </c>
      <c r="F152" s="57" t="s">
        <v>60</v>
      </c>
      <c r="I152" s="74"/>
      <c r="J152" s="74"/>
    </row>
    <row r="153" spans="1:10" x14ac:dyDescent="0.2">
      <c r="A153" s="13" t="s">
        <v>97</v>
      </c>
      <c r="B153" s="14" t="s">
        <v>8</v>
      </c>
      <c r="C153" s="14">
        <v>1</v>
      </c>
      <c r="D153" s="15">
        <f>D137</f>
        <v>493365.75</v>
      </c>
      <c r="E153" s="15">
        <f>C153*D153</f>
        <v>493365.75</v>
      </c>
      <c r="F153" s="20"/>
      <c r="I153" s="74"/>
      <c r="J153" s="74"/>
    </row>
    <row r="154" spans="1:10" x14ac:dyDescent="0.2">
      <c r="A154" s="16" t="s">
        <v>193</v>
      </c>
      <c r="B154" s="17" t="s">
        <v>1</v>
      </c>
      <c r="C154" s="75">
        <v>13.75</v>
      </c>
      <c r="D154" s="18"/>
      <c r="E154" s="18"/>
      <c r="F154" s="20"/>
      <c r="I154" s="74"/>
      <c r="J154" s="74"/>
    </row>
    <row r="155" spans="1:10" x14ac:dyDescent="0.2">
      <c r="A155" s="16" t="s">
        <v>191</v>
      </c>
      <c r="B155" s="17" t="s">
        <v>28</v>
      </c>
      <c r="C155" s="121">
        <f>IFERROR(IF(C139&lt;=C138,E137-(C140/(100*C138)*C139)*E137,E137-E140),0)</f>
        <v>493365.75</v>
      </c>
      <c r="D155" s="18"/>
      <c r="E155" s="18"/>
      <c r="F155" s="20"/>
      <c r="I155" s="74"/>
      <c r="J155" s="74"/>
    </row>
    <row r="156" spans="1:10" x14ac:dyDescent="0.2">
      <c r="A156" s="16" t="s">
        <v>102</v>
      </c>
      <c r="B156" s="17" t="s">
        <v>28</v>
      </c>
      <c r="C156" s="72">
        <f>IFERROR(IF(C139&gt;=C138,C155,((((C155)-(E137-E140))*(((C138-C139)+1)/(2*(C138-C139))))+(E137-E140))),0)</f>
        <v>348656.64186750003</v>
      </c>
      <c r="D156" s="18"/>
      <c r="E156" s="18"/>
      <c r="F156" s="20"/>
      <c r="I156" s="74"/>
      <c r="J156" s="74"/>
    </row>
    <row r="157" spans="1:10" ht="13.5" thickBot="1" x14ac:dyDescent="0.25">
      <c r="A157" s="215" t="s">
        <v>103</v>
      </c>
      <c r="B157" s="216" t="s">
        <v>28</v>
      </c>
      <c r="C157" s="216"/>
      <c r="D157" s="218">
        <f>C154*C156/12/100</f>
        <v>3995.0240213984375</v>
      </c>
      <c r="E157" s="217">
        <f>D157</f>
        <v>3995.0240213984375</v>
      </c>
      <c r="F157" s="20"/>
      <c r="I157" s="74"/>
      <c r="J157" s="74"/>
    </row>
    <row r="158" spans="1:10" ht="13.5" thickTop="1" x14ac:dyDescent="0.2">
      <c r="A158" s="13" t="s">
        <v>98</v>
      </c>
      <c r="B158" s="14" t="s">
        <v>8</v>
      </c>
      <c r="C158" s="14">
        <f>C142</f>
        <v>1</v>
      </c>
      <c r="D158" s="15">
        <f>D142</f>
        <v>150000</v>
      </c>
      <c r="E158" s="15">
        <f>C158*D158</f>
        <v>150000</v>
      </c>
      <c r="F158" s="20"/>
      <c r="I158" s="74"/>
      <c r="J158" s="74"/>
    </row>
    <row r="159" spans="1:10" x14ac:dyDescent="0.2">
      <c r="A159" s="16" t="s">
        <v>193</v>
      </c>
      <c r="B159" s="17" t="s">
        <v>1</v>
      </c>
      <c r="C159" s="17">
        <f>C154</f>
        <v>13.75</v>
      </c>
      <c r="D159" s="18"/>
      <c r="E159" s="18"/>
      <c r="F159" s="20"/>
      <c r="I159" s="74"/>
      <c r="J159" s="74"/>
    </row>
    <row r="160" spans="1:10" x14ac:dyDescent="0.2">
      <c r="A160" s="16" t="s">
        <v>192</v>
      </c>
      <c r="B160" s="17" t="s">
        <v>28</v>
      </c>
      <c r="C160" s="121">
        <f>IFERROR(IF(C144&lt;=C143,E142-(C145/(100*C143)*C144)*E142,E142-E145),0)</f>
        <v>150000</v>
      </c>
      <c r="D160" s="18"/>
      <c r="E160" s="18"/>
      <c r="F160" s="20"/>
      <c r="I160" s="74"/>
      <c r="J160" s="74"/>
    </row>
    <row r="161" spans="1:10" x14ac:dyDescent="0.2">
      <c r="A161" s="16" t="s">
        <v>104</v>
      </c>
      <c r="B161" s="17" t="s">
        <v>28</v>
      </c>
      <c r="C161" s="72">
        <f>IFERROR(IF(C144&gt;=C143,C160,((((C160)-(E142-E145))*(((C143-C144)+1)/(2*(C143-C144))))+(E142-E145))),0)</f>
        <v>106003.5</v>
      </c>
      <c r="D161" s="18"/>
      <c r="E161" s="18"/>
      <c r="F161" s="20"/>
      <c r="I161" s="74"/>
      <c r="J161" s="74"/>
    </row>
    <row r="162" spans="1:10" x14ac:dyDescent="0.2">
      <c r="A162" s="89" t="s">
        <v>101</v>
      </c>
      <c r="B162" s="90" t="s">
        <v>28</v>
      </c>
      <c r="C162" s="90"/>
      <c r="D162" s="96">
        <f>C159*C161/12/100</f>
        <v>1214.6234374999999</v>
      </c>
      <c r="E162" s="91">
        <f>D162</f>
        <v>1214.6234374999999</v>
      </c>
      <c r="F162" s="20"/>
      <c r="I162" s="74"/>
      <c r="J162" s="74"/>
    </row>
    <row r="163" spans="1:10" x14ac:dyDescent="0.2">
      <c r="A163" s="98" t="s">
        <v>233</v>
      </c>
      <c r="B163" s="99"/>
      <c r="C163" s="99"/>
      <c r="D163" s="100"/>
      <c r="E163" s="101">
        <f>E157+E162</f>
        <v>5209.6474588984374</v>
      </c>
      <c r="F163" s="20"/>
      <c r="I163" s="74"/>
      <c r="J163" s="74"/>
    </row>
    <row r="164" spans="1:10" ht="13.5" thickBot="1" x14ac:dyDescent="0.25">
      <c r="A164" s="89" t="s">
        <v>234</v>
      </c>
      <c r="B164" s="90" t="s">
        <v>8</v>
      </c>
      <c r="C164" s="17">
        <f>C148</f>
        <v>1</v>
      </c>
      <c r="D164" s="91">
        <f>E163</f>
        <v>5209.6474588984374</v>
      </c>
      <c r="E164" s="101">
        <f>C164*D164</f>
        <v>5209.6474588984374</v>
      </c>
      <c r="F164" s="20"/>
      <c r="I164" s="74"/>
      <c r="J164" s="74"/>
    </row>
    <row r="165" spans="1:10" ht="13.5" thickBot="1" x14ac:dyDescent="0.25">
      <c r="C165" s="19"/>
      <c r="D165" s="103" t="s">
        <v>179</v>
      </c>
      <c r="E165" s="379">
        <f>$B$48</f>
        <v>0.69</v>
      </c>
      <c r="F165" s="21">
        <f>E164*E165</f>
        <v>3594.6567466399215</v>
      </c>
      <c r="I165" s="74"/>
      <c r="J165" s="74"/>
    </row>
    <row r="166" spans="1:10" ht="11.25" customHeight="1" x14ac:dyDescent="0.2">
      <c r="I166" s="74"/>
      <c r="J166" s="74"/>
    </row>
    <row r="167" spans="1:10" ht="13.5" thickBot="1" x14ac:dyDescent="0.25">
      <c r="A167" s="9" t="s">
        <v>44</v>
      </c>
      <c r="I167" s="74"/>
      <c r="J167" s="74"/>
    </row>
    <row r="168" spans="1:10" ht="13.5" thickBot="1" x14ac:dyDescent="0.25">
      <c r="A168" s="54" t="s">
        <v>57</v>
      </c>
      <c r="B168" s="55" t="s">
        <v>58</v>
      </c>
      <c r="C168" s="55" t="s">
        <v>33</v>
      </c>
      <c r="D168" s="56" t="s">
        <v>214</v>
      </c>
      <c r="E168" s="56" t="s">
        <v>59</v>
      </c>
      <c r="F168" s="57" t="s">
        <v>60</v>
      </c>
      <c r="I168" s="74"/>
      <c r="J168" s="74"/>
    </row>
    <row r="169" spans="1:10" x14ac:dyDescent="0.2">
      <c r="A169" s="13" t="s">
        <v>10</v>
      </c>
      <c r="B169" s="14" t="s">
        <v>8</v>
      </c>
      <c r="C169" s="15">
        <f>C148</f>
        <v>1</v>
      </c>
      <c r="D169" s="15">
        <f>0.01*($E$137)</f>
        <v>4933.6575000000003</v>
      </c>
      <c r="E169" s="15">
        <f>C169*D169</f>
        <v>4933.6575000000003</v>
      </c>
      <c r="I169" s="74"/>
      <c r="J169" s="74"/>
    </row>
    <row r="170" spans="1:10" x14ac:dyDescent="0.2">
      <c r="A170" s="16" t="s">
        <v>178</v>
      </c>
      <c r="B170" s="17" t="s">
        <v>8</v>
      </c>
      <c r="C170" s="15">
        <f>C148</f>
        <v>1</v>
      </c>
      <c r="D170" s="77">
        <v>99.65</v>
      </c>
      <c r="E170" s="18">
        <f>C170*D170</f>
        <v>99.65</v>
      </c>
      <c r="I170" s="74"/>
      <c r="J170" s="74"/>
    </row>
    <row r="171" spans="1:10" x14ac:dyDescent="0.2">
      <c r="A171" s="16" t="s">
        <v>11</v>
      </c>
      <c r="B171" s="17" t="s">
        <v>8</v>
      </c>
      <c r="C171" s="15">
        <f>C148</f>
        <v>1</v>
      </c>
      <c r="D171" s="77">
        <v>0</v>
      </c>
      <c r="E171" s="18">
        <f>C171*D171</f>
        <v>0</v>
      </c>
      <c r="F171" s="31"/>
      <c r="I171" s="74"/>
      <c r="J171" s="74"/>
    </row>
    <row r="172" spans="1:10" ht="13.5" thickBot="1" x14ac:dyDescent="0.25">
      <c r="A172" s="89" t="s">
        <v>12</v>
      </c>
      <c r="B172" s="90" t="s">
        <v>6</v>
      </c>
      <c r="C172" s="90">
        <v>12</v>
      </c>
      <c r="D172" s="91">
        <f>SUM(E169:E171)</f>
        <v>5033.3074999999999</v>
      </c>
      <c r="E172" s="91">
        <f>D172/C172</f>
        <v>419.44229166666668</v>
      </c>
      <c r="I172" s="74"/>
      <c r="J172" s="74"/>
    </row>
    <row r="173" spans="1:10" ht="13.5" thickBot="1" x14ac:dyDescent="0.25">
      <c r="D173" s="103" t="s">
        <v>179</v>
      </c>
      <c r="E173" s="379">
        <f>$B$48</f>
        <v>0.69</v>
      </c>
      <c r="F173" s="104">
        <f>E172*E173</f>
        <v>289.41518124999999</v>
      </c>
      <c r="I173" s="74"/>
      <c r="J173" s="74"/>
    </row>
    <row r="174" spans="1:10" x14ac:dyDescent="0.2">
      <c r="D174" s="103"/>
      <c r="E174" s="426"/>
      <c r="F174" s="426"/>
      <c r="I174" s="74"/>
      <c r="J174" s="74"/>
    </row>
    <row r="175" spans="1:10" x14ac:dyDescent="0.2">
      <c r="D175" s="103"/>
      <c r="E175" s="426"/>
      <c r="F175" s="426"/>
      <c r="I175" s="74"/>
      <c r="J175" s="74"/>
    </row>
    <row r="176" spans="1:10" x14ac:dyDescent="0.2">
      <c r="A176" s="9" t="s">
        <v>45</v>
      </c>
      <c r="B176" s="32"/>
      <c r="I176" s="74"/>
      <c r="J176" s="74"/>
    </row>
    <row r="177" spans="1:10" x14ac:dyDescent="0.2">
      <c r="B177" s="32"/>
      <c r="I177" s="74"/>
      <c r="J177" s="74"/>
    </row>
    <row r="178" spans="1:10" x14ac:dyDescent="0.2">
      <c r="A178" s="415" t="s">
        <v>369</v>
      </c>
      <c r="B178" s="416"/>
      <c r="C178" s="86">
        <f>DistanciaMensal_ColetasRoteiro1+'Plan Diversas'!F30</f>
        <v>2159.0833333333339</v>
      </c>
      <c r="I178" s="74"/>
      <c r="J178" s="74"/>
    </row>
    <row r="179" spans="1:10" x14ac:dyDescent="0.2">
      <c r="A179" s="415" t="s">
        <v>370</v>
      </c>
      <c r="B179" s="416"/>
      <c r="C179" s="86">
        <f>'Plan Diversas'!C20+'Plan Diversas'!C30</f>
        <v>700.75761904761907</v>
      </c>
      <c r="I179" s="74"/>
      <c r="J179" s="74"/>
    </row>
    <row r="180" spans="1:10" ht="13.5" thickBot="1" x14ac:dyDescent="0.25">
      <c r="B180" s="32"/>
      <c r="I180" s="74"/>
      <c r="J180" s="74"/>
    </row>
    <row r="181" spans="1:10" ht="13.5" thickBot="1" x14ac:dyDescent="0.25">
      <c r="A181" s="54" t="s">
        <v>57</v>
      </c>
      <c r="B181" s="55" t="s">
        <v>58</v>
      </c>
      <c r="C181" s="55" t="s">
        <v>232</v>
      </c>
      <c r="D181" s="56" t="s">
        <v>214</v>
      </c>
      <c r="E181" s="56" t="s">
        <v>59</v>
      </c>
      <c r="F181" s="57" t="s">
        <v>60</v>
      </c>
      <c r="I181" s="74"/>
      <c r="J181" s="74"/>
    </row>
    <row r="182" spans="1:10" x14ac:dyDescent="0.2">
      <c r="A182" s="233" t="s">
        <v>372</v>
      </c>
      <c r="B182" s="14" t="s">
        <v>13</v>
      </c>
      <c r="C182" s="84">
        <v>3.5</v>
      </c>
      <c r="D182" s="85">
        <v>5.57</v>
      </c>
      <c r="E182" s="15"/>
      <c r="I182" s="74"/>
      <c r="J182" s="74"/>
    </row>
    <row r="183" spans="1:10" x14ac:dyDescent="0.2">
      <c r="A183" s="397" t="s">
        <v>373</v>
      </c>
      <c r="B183" s="17" t="s">
        <v>14</v>
      </c>
      <c r="C183" s="82">
        <f>C178</f>
        <v>2159.0833333333339</v>
      </c>
      <c r="D183" s="212">
        <f>IFERROR(+D182/C182,"-")</f>
        <v>1.5914285714285714</v>
      </c>
      <c r="E183" s="18">
        <f>IFERROR(C183*D183,"-")</f>
        <v>3436.0269047619058</v>
      </c>
      <c r="I183" s="74"/>
      <c r="J183" s="74"/>
    </row>
    <row r="184" spans="1:10" x14ac:dyDescent="0.2">
      <c r="A184" s="233" t="s">
        <v>374</v>
      </c>
      <c r="B184" s="14" t="s">
        <v>13</v>
      </c>
      <c r="C184" s="84">
        <v>2.5</v>
      </c>
      <c r="D184" s="85">
        <v>5.57</v>
      </c>
      <c r="E184" s="18"/>
      <c r="I184" s="74"/>
      <c r="J184" s="74"/>
    </row>
    <row r="185" spans="1:10" x14ac:dyDescent="0.2">
      <c r="A185" s="397" t="s">
        <v>375</v>
      </c>
      <c r="B185" s="17" t="s">
        <v>14</v>
      </c>
      <c r="C185" s="82">
        <f>C179</f>
        <v>700.75761904761907</v>
      </c>
      <c r="D185" s="212">
        <f>IFERROR(+D184/C184,"-")</f>
        <v>2.2280000000000002</v>
      </c>
      <c r="E185" s="18">
        <f>IFERROR(C185*D185,"-")</f>
        <v>1561.2879752380954</v>
      </c>
      <c r="I185" s="74"/>
      <c r="J185" s="74"/>
    </row>
    <row r="186" spans="1:10" x14ac:dyDescent="0.2">
      <c r="A186" s="16" t="s">
        <v>215</v>
      </c>
      <c r="B186" s="17" t="s">
        <v>15</v>
      </c>
      <c r="C186" s="87">
        <v>4.91</v>
      </c>
      <c r="D186" s="77">
        <v>16.5</v>
      </c>
      <c r="E186" s="18"/>
      <c r="G186" s="95"/>
      <c r="I186" s="74"/>
      <c r="J186" s="74"/>
    </row>
    <row r="187" spans="1:10" x14ac:dyDescent="0.2">
      <c r="A187" s="16" t="s">
        <v>16</v>
      </c>
      <c r="B187" s="17" t="s">
        <v>14</v>
      </c>
      <c r="C187" s="82">
        <f>($C$178+$C$179)</f>
        <v>2859.8409523809532</v>
      </c>
      <c r="D187" s="209">
        <f>+C186*D186/1000</f>
        <v>8.1015000000000004E-2</v>
      </c>
      <c r="E187" s="18">
        <f>C187*D187</f>
        <v>231.69001475714293</v>
      </c>
      <c r="G187" s="95"/>
      <c r="I187" s="74"/>
      <c r="J187" s="74"/>
    </row>
    <row r="188" spans="1:10" x14ac:dyDescent="0.2">
      <c r="A188" s="16" t="s">
        <v>216</v>
      </c>
      <c r="B188" s="17" t="s">
        <v>15</v>
      </c>
      <c r="C188" s="87">
        <v>0.73</v>
      </c>
      <c r="D188" s="77">
        <v>12.8</v>
      </c>
      <c r="E188" s="18"/>
      <c r="G188" s="95"/>
      <c r="I188" s="74"/>
      <c r="J188" s="74"/>
    </row>
    <row r="189" spans="1:10" x14ac:dyDescent="0.2">
      <c r="A189" s="16" t="s">
        <v>17</v>
      </c>
      <c r="B189" s="17" t="s">
        <v>14</v>
      </c>
      <c r="C189" s="82">
        <f>($C$178+$C$179)</f>
        <v>2859.8409523809532</v>
      </c>
      <c r="D189" s="209">
        <f>+C188*D188/1000</f>
        <v>9.3439999999999999E-3</v>
      </c>
      <c r="E189" s="18">
        <f>C189*D189</f>
        <v>26.722353859047626</v>
      </c>
      <c r="G189" s="95"/>
      <c r="I189" s="74"/>
      <c r="J189" s="74"/>
    </row>
    <row r="190" spans="1:10" x14ac:dyDescent="0.2">
      <c r="A190" s="16" t="s">
        <v>217</v>
      </c>
      <c r="B190" s="17" t="s">
        <v>15</v>
      </c>
      <c r="C190" s="87">
        <v>3.67</v>
      </c>
      <c r="D190" s="77">
        <v>9.3000000000000007</v>
      </c>
      <c r="E190" s="18"/>
      <c r="G190" s="95"/>
      <c r="I190" s="74"/>
      <c r="J190" s="74"/>
    </row>
    <row r="191" spans="1:10" x14ac:dyDescent="0.2">
      <c r="A191" s="16" t="s">
        <v>18</v>
      </c>
      <c r="B191" s="17" t="s">
        <v>14</v>
      </c>
      <c r="C191" s="82">
        <f>($C$178+$C$179)</f>
        <v>2859.8409523809532</v>
      </c>
      <c r="D191" s="209">
        <f>+C190*D190/1000</f>
        <v>3.4131000000000002E-2</v>
      </c>
      <c r="E191" s="18">
        <f>C191*D191</f>
        <v>97.609231545714323</v>
      </c>
      <c r="G191" s="95"/>
      <c r="I191" s="74"/>
      <c r="J191" s="74"/>
    </row>
    <row r="192" spans="1:10" x14ac:dyDescent="0.2">
      <c r="A192" s="16" t="s">
        <v>19</v>
      </c>
      <c r="B192" s="17" t="s">
        <v>20</v>
      </c>
      <c r="C192" s="87">
        <v>2</v>
      </c>
      <c r="D192" s="77">
        <v>21.64</v>
      </c>
      <c r="E192" s="18"/>
      <c r="G192" s="95"/>
      <c r="I192" s="74"/>
      <c r="J192" s="74"/>
    </row>
    <row r="193" spans="1:10" x14ac:dyDescent="0.2">
      <c r="A193" s="16" t="s">
        <v>21</v>
      </c>
      <c r="B193" s="17" t="s">
        <v>14</v>
      </c>
      <c r="C193" s="82">
        <f>($C$178+$C$179)</f>
        <v>2859.8409523809532</v>
      </c>
      <c r="D193" s="209">
        <f>+C192*D192/1000</f>
        <v>4.3279999999999999E-2</v>
      </c>
      <c r="E193" s="18">
        <f>C193*D193</f>
        <v>123.77391641904765</v>
      </c>
      <c r="G193" s="95"/>
      <c r="I193" s="74"/>
      <c r="J193" s="74"/>
    </row>
    <row r="194" spans="1:10" ht="13.5" thickBot="1" x14ac:dyDescent="0.25">
      <c r="A194" s="89" t="s">
        <v>231</v>
      </c>
      <c r="B194" s="90" t="s">
        <v>106</v>
      </c>
      <c r="C194" s="210"/>
      <c r="D194" s="211">
        <f>IFERROR(D183+D187+D189+D191+D193,0)</f>
        <v>1.7591985714285714</v>
      </c>
      <c r="E194" s="18"/>
      <c r="G194" s="95"/>
      <c r="I194" s="74"/>
      <c r="J194" s="74"/>
    </row>
    <row r="195" spans="1:10" ht="13.5" thickBot="1" x14ac:dyDescent="0.25">
      <c r="F195" s="21">
        <f>SUM(E182:E193)</f>
        <v>5477.1103965809552</v>
      </c>
      <c r="I195" s="74"/>
      <c r="J195" s="74"/>
    </row>
    <row r="196" spans="1:10" ht="13.5" thickBot="1" x14ac:dyDescent="0.25">
      <c r="A196" s="9" t="s">
        <v>46</v>
      </c>
      <c r="I196" s="74"/>
      <c r="J196" s="74"/>
    </row>
    <row r="197" spans="1:10" ht="13.5" thickBot="1" x14ac:dyDescent="0.25">
      <c r="A197" s="54" t="s">
        <v>57</v>
      </c>
      <c r="B197" s="55" t="s">
        <v>58</v>
      </c>
      <c r="C197" s="55" t="s">
        <v>33</v>
      </c>
      <c r="D197" s="56" t="s">
        <v>214</v>
      </c>
      <c r="E197" s="56" t="s">
        <v>59</v>
      </c>
      <c r="F197" s="57" t="s">
        <v>60</v>
      </c>
      <c r="I197" s="74"/>
      <c r="J197" s="74"/>
    </row>
    <row r="198" spans="1:10" ht="13.5" thickBot="1" x14ac:dyDescent="0.25">
      <c r="A198" s="13" t="s">
        <v>105</v>
      </c>
      <c r="B198" s="14" t="s">
        <v>106</v>
      </c>
      <c r="C198" s="82">
        <f>C183</f>
        <v>2159.0833333333339</v>
      </c>
      <c r="D198" s="76">
        <v>0.95</v>
      </c>
      <c r="E198" s="15">
        <f>C198*D198</f>
        <v>2051.1291666666671</v>
      </c>
      <c r="I198" s="74"/>
      <c r="J198" s="74"/>
    </row>
    <row r="199" spans="1:10" ht="13.5" thickBot="1" x14ac:dyDescent="0.25">
      <c r="F199" s="21">
        <f>E198</f>
        <v>2051.1291666666671</v>
      </c>
      <c r="I199" s="74"/>
      <c r="J199" s="74"/>
    </row>
    <row r="200" spans="1:10" ht="11.25" customHeight="1" x14ac:dyDescent="0.2">
      <c r="I200" s="74"/>
      <c r="J200" s="74"/>
    </row>
    <row r="201" spans="1:10" ht="13.5" thickBot="1" x14ac:dyDescent="0.25">
      <c r="A201" s="9" t="s">
        <v>55</v>
      </c>
      <c r="I201" s="74"/>
      <c r="J201" s="74"/>
    </row>
    <row r="202" spans="1:10" ht="13.5" thickBot="1" x14ac:dyDescent="0.25">
      <c r="A202" s="54" t="s">
        <v>57</v>
      </c>
      <c r="B202" s="55" t="s">
        <v>58</v>
      </c>
      <c r="C202" s="55" t="s">
        <v>33</v>
      </c>
      <c r="D202" s="56" t="s">
        <v>214</v>
      </c>
      <c r="E202" s="56" t="s">
        <v>59</v>
      </c>
      <c r="F202" s="57" t="s">
        <v>60</v>
      </c>
      <c r="I202" s="74"/>
      <c r="J202" s="74"/>
    </row>
    <row r="203" spans="1:10" x14ac:dyDescent="0.2">
      <c r="A203" s="233" t="s">
        <v>365</v>
      </c>
      <c r="B203" s="14" t="s">
        <v>8</v>
      </c>
      <c r="C203" s="83">
        <v>6</v>
      </c>
      <c r="D203" s="76">
        <v>1741</v>
      </c>
      <c r="E203" s="15">
        <f>C203*D203</f>
        <v>10446</v>
      </c>
      <c r="I203" s="74"/>
      <c r="J203" s="74"/>
    </row>
    <row r="204" spans="1:10" x14ac:dyDescent="0.2">
      <c r="A204" s="13" t="s">
        <v>107</v>
      </c>
      <c r="B204" s="14" t="s">
        <v>8</v>
      </c>
      <c r="C204" s="83">
        <v>1</v>
      </c>
      <c r="D204" s="92"/>
      <c r="E204" s="15"/>
      <c r="I204" s="74"/>
      <c r="J204" s="74"/>
    </row>
    <row r="205" spans="1:10" x14ac:dyDescent="0.2">
      <c r="A205" s="13" t="s">
        <v>64</v>
      </c>
      <c r="B205" s="14" t="s">
        <v>8</v>
      </c>
      <c r="C205" s="15">
        <f>C203*C204</f>
        <v>6</v>
      </c>
      <c r="D205" s="76">
        <v>480</v>
      </c>
      <c r="E205" s="15">
        <f>C205*D205</f>
        <v>2880</v>
      </c>
      <c r="I205" s="74"/>
      <c r="J205" s="74"/>
    </row>
    <row r="206" spans="1:10" x14ac:dyDescent="0.2">
      <c r="A206" s="397" t="s">
        <v>366</v>
      </c>
      <c r="B206" s="17" t="s">
        <v>22</v>
      </c>
      <c r="C206" s="86">
        <v>80000</v>
      </c>
      <c r="D206" s="18">
        <f>E203+E205</f>
        <v>13326</v>
      </c>
      <c r="E206" s="18">
        <f>IFERROR(D206/C206,"-")</f>
        <v>0.166575</v>
      </c>
      <c r="I206" s="74"/>
      <c r="J206" s="74"/>
    </row>
    <row r="207" spans="1:10" ht="13.5" thickBot="1" x14ac:dyDescent="0.25">
      <c r="A207" s="16" t="s">
        <v>48</v>
      </c>
      <c r="B207" s="17" t="s">
        <v>14</v>
      </c>
      <c r="C207" s="82">
        <f>C178</f>
        <v>2159.0833333333339</v>
      </c>
      <c r="D207" s="18">
        <f>E206</f>
        <v>0.166575</v>
      </c>
      <c r="E207" s="18">
        <f>IFERROR(C207*D207,0)</f>
        <v>359.64930625000011</v>
      </c>
      <c r="I207" s="74"/>
      <c r="J207" s="74"/>
    </row>
    <row r="208" spans="1:10" ht="13.5" thickBot="1" x14ac:dyDescent="0.25">
      <c r="F208" s="21">
        <f>E207</f>
        <v>359.64930625000011</v>
      </c>
      <c r="I208" s="74"/>
      <c r="J208" s="74"/>
    </row>
    <row r="209" spans="1:7" ht="11.25" customHeight="1" thickBot="1" x14ac:dyDescent="0.25">
      <c r="G209" s="9"/>
    </row>
    <row r="210" spans="1:7" ht="13.5" thickBot="1" x14ac:dyDescent="0.25">
      <c r="A210" s="24" t="s">
        <v>202</v>
      </c>
      <c r="B210" s="25"/>
      <c r="C210" s="25"/>
      <c r="D210" s="26"/>
      <c r="E210" s="27"/>
      <c r="F210" s="21">
        <f>+SUM(F137:F209)</f>
        <v>14183.199123525044</v>
      </c>
      <c r="G210" s="9"/>
    </row>
    <row r="211" spans="1:7" ht="11.25" customHeight="1" x14ac:dyDescent="0.2">
      <c r="G211" s="9"/>
    </row>
    <row r="212" spans="1:7" x14ac:dyDescent="0.2">
      <c r="A212" s="11" t="s">
        <v>68</v>
      </c>
      <c r="B212" s="11"/>
      <c r="C212" s="11"/>
      <c r="D212" s="34"/>
      <c r="E212" s="34"/>
      <c r="F212" s="33"/>
      <c r="G212" s="9"/>
    </row>
    <row r="213" spans="1:7" ht="11.25" customHeight="1" thickBot="1" x14ac:dyDescent="0.25">
      <c r="G213" s="9"/>
    </row>
    <row r="214" spans="1:7" ht="13.5" thickBot="1" x14ac:dyDescent="0.25">
      <c r="A214" s="54" t="s">
        <v>57</v>
      </c>
      <c r="B214" s="55" t="s">
        <v>58</v>
      </c>
      <c r="C214" s="55" t="s">
        <v>33</v>
      </c>
      <c r="D214" s="56" t="s">
        <v>214</v>
      </c>
      <c r="E214" s="56" t="s">
        <v>59</v>
      </c>
      <c r="F214" s="57" t="s">
        <v>60</v>
      </c>
      <c r="G214" s="9"/>
    </row>
    <row r="215" spans="1:7" x14ac:dyDescent="0.2">
      <c r="A215" s="16" t="s">
        <v>65</v>
      </c>
      <c r="B215" s="17" t="s">
        <v>8</v>
      </c>
      <c r="C215" s="433">
        <v>0.16666666666666666</v>
      </c>
      <c r="D215" s="76">
        <v>49.9</v>
      </c>
      <c r="E215" s="18">
        <f>C215*D215</f>
        <v>8.3166666666666664</v>
      </c>
      <c r="F215" s="50"/>
      <c r="G215" s="9"/>
    </row>
    <row r="216" spans="1:7" x14ac:dyDescent="0.2">
      <c r="A216" s="16" t="s">
        <v>23</v>
      </c>
      <c r="B216" s="17" t="s">
        <v>8</v>
      </c>
      <c r="C216" s="433">
        <v>0.25</v>
      </c>
      <c r="D216" s="76">
        <v>39.9</v>
      </c>
      <c r="E216" s="18">
        <f>C216*D216</f>
        <v>9.9749999999999996</v>
      </c>
      <c r="F216" s="50"/>
      <c r="G216" s="9"/>
    </row>
    <row r="217" spans="1:7" x14ac:dyDescent="0.2">
      <c r="A217" s="16" t="s">
        <v>24</v>
      </c>
      <c r="B217" s="17" t="s">
        <v>8</v>
      </c>
      <c r="C217" s="433">
        <v>0.16666666666666666</v>
      </c>
      <c r="D217" s="76">
        <v>21.9</v>
      </c>
      <c r="E217" s="18">
        <f>C217*D217</f>
        <v>3.6499999999999995</v>
      </c>
      <c r="F217" s="50"/>
      <c r="G217" s="9"/>
    </row>
    <row r="218" spans="1:7" x14ac:dyDescent="0.2">
      <c r="A218" s="16" t="s">
        <v>50</v>
      </c>
      <c r="B218" s="17" t="s">
        <v>51</v>
      </c>
      <c r="C218" s="78">
        <v>0</v>
      </c>
      <c r="D218" s="76">
        <v>0</v>
      </c>
      <c r="E218" s="18">
        <f>C218*D218</f>
        <v>0</v>
      </c>
      <c r="F218" s="50"/>
      <c r="G218" s="9"/>
    </row>
    <row r="219" spans="1:7" ht="13.5" thickBot="1" x14ac:dyDescent="0.25">
      <c r="A219" s="16" t="s">
        <v>53</v>
      </c>
      <c r="B219" s="17" t="s">
        <v>51</v>
      </c>
      <c r="C219" s="78">
        <v>0</v>
      </c>
      <c r="D219" s="434">
        <v>0</v>
      </c>
      <c r="E219" s="435">
        <f>C219*D219</f>
        <v>0</v>
      </c>
      <c r="F219" s="50"/>
      <c r="G219" s="9"/>
    </row>
    <row r="220" spans="1:7" ht="13.5" thickBot="1" x14ac:dyDescent="0.25">
      <c r="A220" s="11"/>
      <c r="B220" s="11"/>
      <c r="C220" s="11"/>
      <c r="D220" s="436" t="s">
        <v>384</v>
      </c>
      <c r="E220" s="437">
        <v>2</v>
      </c>
      <c r="F220" s="104">
        <f>SUM(E215:E219)*E220</f>
        <v>43.883333333333326</v>
      </c>
      <c r="G220" s="9"/>
    </row>
    <row r="221" spans="1:7" ht="11.25" customHeight="1" thickBot="1" x14ac:dyDescent="0.25">
      <c r="G221" s="9"/>
    </row>
    <row r="222" spans="1:7" ht="13.5" thickBot="1" x14ac:dyDescent="0.25">
      <c r="A222" s="24" t="s">
        <v>203</v>
      </c>
      <c r="B222" s="25"/>
      <c r="C222" s="25"/>
      <c r="D222" s="26"/>
      <c r="E222" s="27"/>
      <c r="F222" s="21">
        <f>+F220</f>
        <v>43.883333333333326</v>
      </c>
      <c r="G222" s="9"/>
    </row>
    <row r="223" spans="1:7" ht="11.25" customHeight="1" x14ac:dyDescent="0.2">
      <c r="G223" s="9"/>
    </row>
    <row r="224" spans="1:7" x14ac:dyDescent="0.2">
      <c r="A224" s="11" t="s">
        <v>69</v>
      </c>
      <c r="B224" s="11"/>
      <c r="C224" s="11"/>
      <c r="D224" s="34"/>
      <c r="E224" s="34"/>
      <c r="F224" s="33"/>
    </row>
    <row r="225" spans="1:7" ht="11.25" customHeight="1" thickBot="1" x14ac:dyDescent="0.25"/>
    <row r="226" spans="1:7" ht="13.5" thickBot="1" x14ac:dyDescent="0.25">
      <c r="A226" s="54" t="s">
        <v>57</v>
      </c>
      <c r="B226" s="55" t="s">
        <v>58</v>
      </c>
      <c r="C226" s="55" t="s">
        <v>33</v>
      </c>
      <c r="D226" s="56" t="s">
        <v>214</v>
      </c>
      <c r="E226" s="56" t="s">
        <v>59</v>
      </c>
      <c r="F226" s="57" t="s">
        <v>60</v>
      </c>
    </row>
    <row r="227" spans="1:7" x14ac:dyDescent="0.2">
      <c r="A227" s="16" t="s">
        <v>200</v>
      </c>
      <c r="B227" s="49" t="s">
        <v>51</v>
      </c>
      <c r="C227" s="62">
        <f>+C148</f>
        <v>1</v>
      </c>
      <c r="D227" s="427">
        <v>350</v>
      </c>
      <c r="E227" s="428">
        <f>+D227*C227</f>
        <v>350</v>
      </c>
      <c r="F227" s="50"/>
    </row>
    <row r="228" spans="1:7" x14ac:dyDescent="0.2">
      <c r="A228" s="16" t="s">
        <v>54</v>
      </c>
      <c r="B228" s="49" t="s">
        <v>6</v>
      </c>
      <c r="C228" s="17">
        <v>60</v>
      </c>
      <c r="D228" s="428">
        <f>SUM(E227:E227)</f>
        <v>350</v>
      </c>
      <c r="E228" s="428">
        <f>+D228/C228</f>
        <v>5.833333333333333</v>
      </c>
      <c r="F228" s="50"/>
    </row>
    <row r="229" spans="1:7" x14ac:dyDescent="0.2">
      <c r="A229" s="16" t="s">
        <v>201</v>
      </c>
      <c r="B229" s="17" t="s">
        <v>8</v>
      </c>
      <c r="C229" s="62">
        <f>+C227</f>
        <v>1</v>
      </c>
      <c r="D229" s="427">
        <v>150</v>
      </c>
      <c r="E229" s="428">
        <f>C229*D229</f>
        <v>150</v>
      </c>
      <c r="F229" s="50"/>
    </row>
    <row r="230" spans="1:7" ht="13.5" thickBot="1" x14ac:dyDescent="0.25">
      <c r="A230" s="16" t="s">
        <v>30</v>
      </c>
      <c r="B230" s="49" t="s">
        <v>6</v>
      </c>
      <c r="C230" s="17">
        <v>1</v>
      </c>
      <c r="D230" s="428">
        <f>+E229</f>
        <v>150</v>
      </c>
      <c r="E230" s="428">
        <f>+D230/C230</f>
        <v>150</v>
      </c>
      <c r="F230" s="50"/>
    </row>
    <row r="231" spans="1:7" ht="13.5" thickBot="1" x14ac:dyDescent="0.25">
      <c r="A231" s="12"/>
      <c r="B231" s="12"/>
      <c r="C231" s="12"/>
      <c r="D231" s="103" t="s">
        <v>179</v>
      </c>
      <c r="E231" s="380">
        <f>$B$47</f>
        <v>0.69</v>
      </c>
      <c r="F231" s="21">
        <f>(E228+E230)*E231</f>
        <v>107.52499999999999</v>
      </c>
    </row>
    <row r="232" spans="1:7" s="48" customFormat="1" ht="11.25" customHeight="1" thickBot="1" x14ac:dyDescent="0.25">
      <c r="A232" s="9"/>
      <c r="B232" s="9"/>
      <c r="C232" s="9"/>
      <c r="D232" s="10"/>
      <c r="E232" s="10"/>
      <c r="F232" s="10"/>
      <c r="G232" s="73"/>
    </row>
    <row r="233" spans="1:7" ht="13.5" thickBot="1" x14ac:dyDescent="0.25">
      <c r="A233" s="24" t="s">
        <v>199</v>
      </c>
      <c r="B233" s="25"/>
      <c r="C233" s="25"/>
      <c r="D233" s="26"/>
      <c r="E233" s="27"/>
      <c r="F233" s="21">
        <f>+F231</f>
        <v>107.52499999999999</v>
      </c>
    </row>
    <row r="234" spans="1:7" ht="11.25" customHeight="1" thickBot="1" x14ac:dyDescent="0.25"/>
    <row r="235" spans="1:7" ht="17.25" customHeight="1" thickBot="1" x14ac:dyDescent="0.25">
      <c r="A235" s="24" t="s">
        <v>204</v>
      </c>
      <c r="B235" s="28"/>
      <c r="C235" s="28"/>
      <c r="D235" s="29"/>
      <c r="E235" s="30"/>
      <c r="F235" s="22">
        <f>+F95+F129+F210+F222+F233</f>
        <v>25078.748492014773</v>
      </c>
    </row>
    <row r="236" spans="1:7" ht="11.25" customHeight="1" x14ac:dyDescent="0.2"/>
    <row r="237" spans="1:7" x14ac:dyDescent="0.2">
      <c r="A237" s="11" t="s">
        <v>84</v>
      </c>
    </row>
    <row r="238" spans="1:7" ht="11.25" customHeight="1" thickBot="1" x14ac:dyDescent="0.25"/>
    <row r="239" spans="1:7" ht="13.5" thickBot="1" x14ac:dyDescent="0.25">
      <c r="A239" s="54" t="s">
        <v>57</v>
      </c>
      <c r="B239" s="55" t="s">
        <v>58</v>
      </c>
      <c r="C239" s="55" t="s">
        <v>33</v>
      </c>
      <c r="D239" s="56" t="s">
        <v>214</v>
      </c>
      <c r="E239" s="56" t="s">
        <v>59</v>
      </c>
      <c r="F239" s="57" t="s">
        <v>60</v>
      </c>
    </row>
    <row r="240" spans="1:7" ht="13.5" thickBot="1" x14ac:dyDescent="0.25">
      <c r="A240" s="13" t="s">
        <v>29</v>
      </c>
      <c r="B240" s="14" t="s">
        <v>1</v>
      </c>
      <c r="C240" s="117">
        <f>'4.BDI'!C20*100</f>
        <v>27.46</v>
      </c>
      <c r="D240" s="15">
        <f>+F235</f>
        <v>25078.748492014773</v>
      </c>
      <c r="E240" s="15">
        <f>C240*D240/100</f>
        <v>6886.6243359072569</v>
      </c>
    </row>
    <row r="241" spans="1:7" ht="13.5" thickBot="1" x14ac:dyDescent="0.25">
      <c r="F241" s="21">
        <f>+E240</f>
        <v>6886.6243359072569</v>
      </c>
    </row>
    <row r="242" spans="1:7" ht="11.25" customHeight="1" thickBot="1" x14ac:dyDescent="0.25"/>
    <row r="243" spans="1:7" ht="13.5" thickBot="1" x14ac:dyDescent="0.25">
      <c r="A243" s="24" t="s">
        <v>219</v>
      </c>
      <c r="B243" s="28"/>
      <c r="C243" s="28"/>
      <c r="D243" s="29"/>
      <c r="E243" s="30"/>
      <c r="F243" s="22">
        <f>F241</f>
        <v>6886.6243359072569</v>
      </c>
    </row>
    <row r="244" spans="1:7" x14ac:dyDescent="0.2">
      <c r="A244" s="11"/>
      <c r="B244" s="11"/>
      <c r="C244" s="11"/>
      <c r="D244" s="34"/>
      <c r="E244" s="34"/>
      <c r="F244" s="33"/>
    </row>
    <row r="245" spans="1:7" ht="11.25" customHeight="1" thickBot="1" x14ac:dyDescent="0.25"/>
    <row r="246" spans="1:7" ht="24.75" customHeight="1" thickBot="1" x14ac:dyDescent="0.25">
      <c r="A246" s="24" t="s">
        <v>205</v>
      </c>
      <c r="B246" s="28"/>
      <c r="C246" s="28"/>
      <c r="D246" s="29"/>
      <c r="E246" s="30"/>
      <c r="F246" s="22">
        <f>F235+F243</f>
        <v>31965.37282792203</v>
      </c>
    </row>
    <row r="247" spans="1:7" ht="12.6" customHeight="1" x14ac:dyDescent="0.2">
      <c r="A247" s="51"/>
      <c r="B247" s="51"/>
      <c r="C247" s="51"/>
      <c r="D247" s="52"/>
      <c r="E247" s="52"/>
      <c r="F247" s="52"/>
    </row>
    <row r="248" spans="1:7" s="4" customFormat="1" ht="9.75" customHeight="1" x14ac:dyDescent="0.2">
      <c r="A248" s="38"/>
      <c r="B248" s="10"/>
      <c r="C248" s="10"/>
      <c r="D248" s="10"/>
      <c r="E248" s="10"/>
      <c r="F248" s="10"/>
      <c r="G248" s="6"/>
    </row>
    <row r="249" spans="1:7" s="4" customFormat="1" ht="9.75" customHeight="1" x14ac:dyDescent="0.2">
      <c r="A249" s="38"/>
      <c r="B249" s="10"/>
      <c r="C249" s="10"/>
      <c r="D249" s="10"/>
      <c r="E249" s="10"/>
      <c r="F249" s="10"/>
      <c r="G249" s="6"/>
    </row>
    <row r="250" spans="1:7" s="4" customFormat="1" ht="9.75" customHeight="1" x14ac:dyDescent="0.2">
      <c r="A250" s="38"/>
      <c r="B250" s="10"/>
      <c r="C250" s="10"/>
      <c r="D250" s="10"/>
      <c r="E250" s="10"/>
      <c r="F250" s="10"/>
      <c r="G250" s="6"/>
    </row>
    <row r="280" s="9" customFormat="1" ht="9" customHeight="1" x14ac:dyDescent="0.2"/>
  </sheetData>
  <mergeCells count="8">
    <mergeCell ref="A4:F9"/>
    <mergeCell ref="A43:D43"/>
    <mergeCell ref="A22:C22"/>
    <mergeCell ref="A11:F11"/>
    <mergeCell ref="A12:F12"/>
    <mergeCell ref="A38:D38"/>
    <mergeCell ref="A14:F14"/>
    <mergeCell ref="A37:E37"/>
  </mergeCells>
  <phoneticPr fontId="10" type="noConversion"/>
  <hyperlinks>
    <hyperlink ref="A151" location="AbaRemun" display="3.1.2. Remuneração do Capital" xr:uid="{00000000-0004-0000-0100-000000000000}"/>
    <hyperlink ref="A135" location="AbaDeprec" display="3.1.1. Depreciação" xr:uid="{00000000-0004-0000-0100-000001000000}"/>
  </hyperlinks>
  <pageMargins left="0.9055118110236221" right="0.51181102362204722" top="0.74803149606299213" bottom="0.74803149606299213" header="0.31496062992125984" footer="0.31496062992125984"/>
  <pageSetup paperSize="9" scale="22" orientation="portrait" r:id="rId1"/>
  <headerFooter alignWithMargins="0">
    <oddFooter>&amp;R&amp;P de &amp;N</oddFooter>
  </headerFooter>
  <rowBreaks count="3" manualBreakCount="3">
    <brk id="49" max="5" man="1"/>
    <brk id="115" max="5" man="1"/>
    <brk id="174" max="5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9"/>
  <sheetViews>
    <sheetView topLeftCell="A4" zoomScaleNormal="100" workbookViewId="0">
      <selection activeCell="C33" sqref="C33"/>
    </sheetView>
  </sheetViews>
  <sheetFormatPr defaultRowHeight="12.75" x14ac:dyDescent="0.2"/>
  <cols>
    <col min="1" max="1" width="13.5703125" style="1" customWidth="1"/>
    <col min="2" max="2" width="39.5703125" style="1" bestFit="1" customWidth="1"/>
    <col min="3" max="3" width="14.5703125" style="235" customWidth="1"/>
    <col min="4" max="4" width="37.28515625" style="1" customWidth="1"/>
    <col min="5" max="10" width="9.140625" style="1"/>
    <col min="11" max="11" width="11" style="1" bestFit="1" customWidth="1"/>
    <col min="12" max="16384" width="9.140625" style="1"/>
  </cols>
  <sheetData>
    <row r="1" spans="1:7" x14ac:dyDescent="0.2">
      <c r="A1" s="11" t="s">
        <v>186</v>
      </c>
    </row>
    <row r="2" spans="1:7" x14ac:dyDescent="0.2">
      <c r="A2" s="116" t="s">
        <v>225</v>
      </c>
    </row>
    <row r="3" spans="1:7" s="4" customFormat="1" ht="15.6" customHeight="1" x14ac:dyDescent="0.2">
      <c r="B3" s="5"/>
      <c r="C3" s="256"/>
      <c r="D3" s="5"/>
      <c r="E3" s="5"/>
      <c r="F3" s="5"/>
      <c r="G3" s="6"/>
    </row>
    <row r="4" spans="1:7" s="4" customFormat="1" ht="15.6" customHeight="1" x14ac:dyDescent="0.2">
      <c r="A4" s="231" t="s">
        <v>265</v>
      </c>
      <c r="B4" s="5"/>
      <c r="C4" s="256"/>
      <c r="D4" s="5"/>
      <c r="E4" s="5"/>
      <c r="F4" s="5"/>
      <c r="G4" s="6"/>
    </row>
    <row r="5" spans="1:7" s="4" customFormat="1" ht="16.5" customHeight="1" x14ac:dyDescent="0.2">
      <c r="A5" s="231" t="s">
        <v>262</v>
      </c>
      <c r="B5" s="5"/>
      <c r="C5" s="256"/>
      <c r="D5" s="6"/>
      <c r="E5" s="6"/>
      <c r="F5" s="6"/>
      <c r="G5" s="6"/>
    </row>
    <row r="6" spans="1:7" ht="13.5" thickBot="1" x14ac:dyDescent="0.25"/>
    <row r="7" spans="1:7" ht="18" x14ac:dyDescent="0.2">
      <c r="A7" s="491" t="s">
        <v>208</v>
      </c>
      <c r="B7" s="492"/>
      <c r="C7" s="493"/>
      <c r="D7" s="122"/>
      <c r="E7" s="122"/>
      <c r="F7" s="122"/>
    </row>
    <row r="8" spans="1:7" s="255" customFormat="1" ht="15" x14ac:dyDescent="0.2">
      <c r="A8" s="204" t="s">
        <v>125</v>
      </c>
      <c r="B8" s="252" t="s">
        <v>126</v>
      </c>
      <c r="C8" s="253" t="s">
        <v>127</v>
      </c>
      <c r="D8" s="254"/>
    </row>
    <row r="9" spans="1:7" ht="14.25" x14ac:dyDescent="0.2">
      <c r="A9" s="134" t="s">
        <v>128</v>
      </c>
      <c r="B9" s="135" t="s">
        <v>34</v>
      </c>
      <c r="C9" s="257">
        <v>0.2</v>
      </c>
      <c r="D9" s="136"/>
    </row>
    <row r="10" spans="1:7" ht="14.25" x14ac:dyDescent="0.2">
      <c r="A10" s="134" t="s">
        <v>129</v>
      </c>
      <c r="B10" s="135" t="s">
        <v>130</v>
      </c>
      <c r="C10" s="257">
        <v>1.4999999999999999E-2</v>
      </c>
      <c r="D10" s="136"/>
    </row>
    <row r="11" spans="1:7" ht="14.25" x14ac:dyDescent="0.2">
      <c r="A11" s="134" t="s">
        <v>131</v>
      </c>
      <c r="B11" s="135" t="s">
        <v>132</v>
      </c>
      <c r="C11" s="257">
        <v>0.01</v>
      </c>
      <c r="D11" s="136"/>
    </row>
    <row r="12" spans="1:7" ht="14.25" x14ac:dyDescent="0.2">
      <c r="A12" s="134" t="s">
        <v>133</v>
      </c>
      <c r="B12" s="135" t="s">
        <v>134</v>
      </c>
      <c r="C12" s="257">
        <v>2E-3</v>
      </c>
      <c r="D12" s="136"/>
    </row>
    <row r="13" spans="1:7" ht="14.25" x14ac:dyDescent="0.2">
      <c r="A13" s="134" t="s">
        <v>135</v>
      </c>
      <c r="B13" s="135" t="s">
        <v>136</v>
      </c>
      <c r="C13" s="257">
        <v>6.0000000000000001E-3</v>
      </c>
      <c r="D13" s="136"/>
    </row>
    <row r="14" spans="1:7" ht="14.25" x14ac:dyDescent="0.2">
      <c r="A14" s="134" t="s">
        <v>137</v>
      </c>
      <c r="B14" s="135" t="s">
        <v>138</v>
      </c>
      <c r="C14" s="257">
        <v>2.5000000000000001E-2</v>
      </c>
      <c r="D14" s="136"/>
    </row>
    <row r="15" spans="1:7" ht="14.25" x14ac:dyDescent="0.2">
      <c r="A15" s="134" t="s">
        <v>139</v>
      </c>
      <c r="B15" s="135" t="s">
        <v>140</v>
      </c>
      <c r="C15" s="257">
        <v>0.03</v>
      </c>
      <c r="D15" s="136"/>
    </row>
    <row r="16" spans="1:7" ht="14.25" x14ac:dyDescent="0.2">
      <c r="A16" s="134" t="s">
        <v>141</v>
      </c>
      <c r="B16" s="135" t="s">
        <v>35</v>
      </c>
      <c r="C16" s="257">
        <v>0.08</v>
      </c>
      <c r="D16" s="136"/>
    </row>
    <row r="17" spans="1:8" ht="15" x14ac:dyDescent="0.2">
      <c r="A17" s="134" t="s">
        <v>142</v>
      </c>
      <c r="B17" s="137" t="s">
        <v>143</v>
      </c>
      <c r="C17" s="258">
        <f>SUM(C9:C16)</f>
        <v>0.36800000000000005</v>
      </c>
      <c r="D17" s="136"/>
    </row>
    <row r="18" spans="1:8" ht="15" x14ac:dyDescent="0.2">
      <c r="A18" s="138"/>
      <c r="B18" s="139"/>
      <c r="C18" s="259"/>
      <c r="D18" s="136"/>
    </row>
    <row r="19" spans="1:8" ht="14.25" x14ac:dyDescent="0.2">
      <c r="A19" s="134" t="s">
        <v>144</v>
      </c>
      <c r="B19" s="140" t="s">
        <v>145</v>
      </c>
      <c r="C19" s="257">
        <f>ROUND(IF('3.CAGED'!C28&gt;24,(1-12/'3.CAGED'!C28)*0.1111,0.1111-C28),4)</f>
        <v>6.1899999999999997E-2</v>
      </c>
      <c r="D19" s="136"/>
    </row>
    <row r="20" spans="1:8" ht="14.25" x14ac:dyDescent="0.2">
      <c r="A20" s="134" t="s">
        <v>146</v>
      </c>
      <c r="B20" s="140" t="s">
        <v>147</v>
      </c>
      <c r="C20" s="257">
        <f>ROUND('3.CAGED'!C32/'3.CAGED'!C29,4)</f>
        <v>8.3299999999999999E-2</v>
      </c>
      <c r="D20" s="136"/>
    </row>
    <row r="21" spans="1:8" ht="14.25" x14ac:dyDescent="0.2">
      <c r="A21" s="134" t="s">
        <v>197</v>
      </c>
      <c r="B21" s="140" t="s">
        <v>149</v>
      </c>
      <c r="C21" s="257">
        <v>5.9999999999999995E-4</v>
      </c>
      <c r="D21" s="136"/>
    </row>
    <row r="22" spans="1:8" ht="14.25" x14ac:dyDescent="0.2">
      <c r="A22" s="134" t="s">
        <v>148</v>
      </c>
      <c r="B22" s="140" t="s">
        <v>151</v>
      </c>
      <c r="C22" s="257">
        <v>8.2000000000000007E-3</v>
      </c>
      <c r="D22" s="136"/>
    </row>
    <row r="23" spans="1:8" ht="14.25" x14ac:dyDescent="0.2">
      <c r="A23" s="134" t="s">
        <v>150</v>
      </c>
      <c r="B23" s="140" t="s">
        <v>153</v>
      </c>
      <c r="C23" s="257">
        <v>3.0999999999999999E-3</v>
      </c>
      <c r="D23" s="136"/>
    </row>
    <row r="24" spans="1:8" ht="14.25" x14ac:dyDescent="0.2">
      <c r="A24" s="134" t="s">
        <v>152</v>
      </c>
      <c r="B24" s="140" t="s">
        <v>154</v>
      </c>
      <c r="C24" s="257">
        <v>1.66E-2</v>
      </c>
      <c r="D24" s="136"/>
    </row>
    <row r="25" spans="1:8" ht="15" x14ac:dyDescent="0.2">
      <c r="A25" s="134" t="s">
        <v>155</v>
      </c>
      <c r="B25" s="137" t="s">
        <v>156</v>
      </c>
      <c r="C25" s="258">
        <f>SUM(C19:C24)</f>
        <v>0.17369999999999999</v>
      </c>
      <c r="D25" s="141"/>
    </row>
    <row r="26" spans="1:8" ht="15" x14ac:dyDescent="0.2">
      <c r="A26" s="138"/>
      <c r="B26" s="139"/>
      <c r="C26" s="259"/>
      <c r="D26" s="141"/>
    </row>
    <row r="27" spans="1:8" ht="14.25" x14ac:dyDescent="0.2">
      <c r="A27" s="134" t="s">
        <v>157</v>
      </c>
      <c r="B27" s="135" t="s">
        <v>158</v>
      </c>
      <c r="C27" s="257">
        <f>ROUND(('3.CAGED'!C33) *'3.CAGED'!C26/'3.CAGED'!C29,4)</f>
        <v>2.5600000000000001E-2</v>
      </c>
      <c r="D27" s="136"/>
      <c r="E27" s="142"/>
    </row>
    <row r="28" spans="1:8" ht="14.25" x14ac:dyDescent="0.2">
      <c r="A28" s="134" t="s">
        <v>196</v>
      </c>
      <c r="B28" s="135" t="s">
        <v>160</v>
      </c>
      <c r="C28" s="257">
        <f>ROUND(IF('3.CAGED'!C28&gt;12,12/'3.CAGED'!C28*0.1111,0.1111),4)</f>
        <v>4.9200000000000001E-2</v>
      </c>
      <c r="D28" s="136"/>
      <c r="H28" s="143"/>
    </row>
    <row r="29" spans="1:8" ht="14.25" x14ac:dyDescent="0.2">
      <c r="A29" s="134" t="s">
        <v>159</v>
      </c>
      <c r="B29" s="135" t="s">
        <v>162</v>
      </c>
      <c r="C29" s="257">
        <f>C27*C28</f>
        <v>1.2595200000000001E-3</v>
      </c>
      <c r="D29" s="136"/>
      <c r="E29" s="142"/>
    </row>
    <row r="30" spans="1:8" ht="14.25" x14ac:dyDescent="0.2">
      <c r="A30" s="134" t="s">
        <v>161</v>
      </c>
      <c r="B30" s="135" t="s">
        <v>164</v>
      </c>
      <c r="C30" s="257">
        <f>ROUND(('3.CAGED'!C29+'3.CAGED'!C30+'3.CAGED'!C32)/'3.CAGED'!C27*'3.CAGED'!C34*'3.CAGED'!C35*'3.CAGED'!C26/'3.CAGED'!C29,4)</f>
        <v>2.0500000000000001E-2</v>
      </c>
      <c r="D30" s="136"/>
      <c r="G30" s="142"/>
    </row>
    <row r="31" spans="1:8" ht="14.25" x14ac:dyDescent="0.2">
      <c r="A31" s="134" t="s">
        <v>163</v>
      </c>
      <c r="B31" s="135" t="s">
        <v>165</v>
      </c>
      <c r="C31" s="257">
        <f>ROUND(('3.CAGED'!C31/'3.CAGED'!C29)*'3.CAGED'!C26/12,4)</f>
        <v>1.8E-3</v>
      </c>
      <c r="D31" s="136"/>
    </row>
    <row r="32" spans="1:8" ht="15" x14ac:dyDescent="0.2">
      <c r="A32" s="134" t="s">
        <v>166</v>
      </c>
      <c r="B32" s="137" t="s">
        <v>167</v>
      </c>
      <c r="C32" s="258">
        <f>SUM(C27:C31)</f>
        <v>9.8359520000000006E-2</v>
      </c>
      <c r="D32" s="141"/>
    </row>
    <row r="33" spans="1:4" ht="15" x14ac:dyDescent="0.2">
      <c r="A33" s="138"/>
      <c r="B33" s="139"/>
      <c r="C33" s="259"/>
      <c r="D33" s="141"/>
    </row>
    <row r="34" spans="1:4" ht="14.25" x14ac:dyDescent="0.2">
      <c r="A34" s="134" t="s">
        <v>168</v>
      </c>
      <c r="B34" s="135" t="s">
        <v>169</v>
      </c>
      <c r="C34" s="257">
        <f>ROUND(C17*C25,4)</f>
        <v>6.3899999999999998E-2</v>
      </c>
      <c r="D34" s="136"/>
    </row>
    <row r="35" spans="1:4" ht="28.5" x14ac:dyDescent="0.2">
      <c r="A35" s="134" t="s">
        <v>170</v>
      </c>
      <c r="B35" s="144" t="s">
        <v>261</v>
      </c>
      <c r="C35" s="257">
        <f>ROUND((C27*C16),4)</f>
        <v>2E-3</v>
      </c>
      <c r="D35" s="136"/>
    </row>
    <row r="36" spans="1:4" ht="15" x14ac:dyDescent="0.2">
      <c r="A36" s="134" t="s">
        <v>171</v>
      </c>
      <c r="B36" s="137" t="s">
        <v>172</v>
      </c>
      <c r="C36" s="258">
        <f>SUM(C34:C35)</f>
        <v>6.59E-2</v>
      </c>
      <c r="D36" s="141"/>
    </row>
    <row r="37" spans="1:4" ht="15.75" thickBot="1" x14ac:dyDescent="0.25">
      <c r="A37" s="145"/>
      <c r="B37" s="146" t="s">
        <v>173</v>
      </c>
      <c r="C37" s="260">
        <f>C36+C32+C25+C17</f>
        <v>0.70595951999999995</v>
      </c>
      <c r="D37" s="141"/>
    </row>
    <row r="38" spans="1:4" ht="15" x14ac:dyDescent="0.2">
      <c r="A38" s="136"/>
      <c r="B38" s="147"/>
      <c r="C38" s="261"/>
      <c r="D38" s="148"/>
    </row>
    <row r="39" spans="1:4" ht="14.25" x14ac:dyDescent="0.2">
      <c r="A39" s="136"/>
      <c r="B39" s="136"/>
      <c r="C39" s="262"/>
      <c r="D39" s="149"/>
    </row>
    <row r="40" spans="1:4" ht="14.25" x14ac:dyDescent="0.2">
      <c r="A40" s="136"/>
      <c r="B40" s="136"/>
      <c r="C40" s="262"/>
      <c r="D40" s="136"/>
    </row>
    <row r="41" spans="1:4" ht="14.25" x14ac:dyDescent="0.2">
      <c r="A41" s="136"/>
      <c r="B41" s="136"/>
      <c r="C41" s="262"/>
      <c r="D41" s="136"/>
    </row>
    <row r="42" spans="1:4" ht="14.25" x14ac:dyDescent="0.2">
      <c r="A42" s="136"/>
      <c r="B42" s="136"/>
      <c r="C42" s="262"/>
      <c r="D42" s="136"/>
    </row>
    <row r="43" spans="1:4" ht="15" x14ac:dyDescent="0.2">
      <c r="A43" s="136"/>
      <c r="B43" s="147"/>
      <c r="C43" s="261"/>
      <c r="D43" s="136"/>
    </row>
    <row r="44" spans="1:4" ht="15" x14ac:dyDescent="0.2">
      <c r="A44" s="141"/>
      <c r="B44" s="147"/>
      <c r="C44" s="261"/>
      <c r="D44" s="141"/>
    </row>
    <row r="45" spans="1:4" ht="16.5" x14ac:dyDescent="0.2">
      <c r="A45" s="151"/>
    </row>
    <row r="46" spans="1:4" x14ac:dyDescent="0.2">
      <c r="A46" s="152"/>
      <c r="B46" s="153"/>
      <c r="C46" s="263"/>
    </row>
    <row r="47" spans="1:4" ht="14.25" x14ac:dyDescent="0.2">
      <c r="A47" s="136"/>
      <c r="B47" s="154"/>
      <c r="C47" s="263"/>
    </row>
    <row r="48" spans="1:4" ht="14.25" x14ac:dyDescent="0.2">
      <c r="A48" s="136"/>
      <c r="B48" s="154"/>
      <c r="C48" s="264"/>
    </row>
    <row r="49" spans="1:3" ht="14.25" x14ac:dyDescent="0.2">
      <c r="A49" s="136"/>
      <c r="B49" s="150"/>
      <c r="C49" s="263"/>
    </row>
    <row r="50" spans="1:3" ht="14.25" x14ac:dyDescent="0.2">
      <c r="A50" s="136"/>
      <c r="B50" s="154"/>
      <c r="C50" s="264"/>
    </row>
    <row r="51" spans="1:3" ht="14.25" x14ac:dyDescent="0.2">
      <c r="A51" s="136"/>
      <c r="B51" s="150"/>
      <c r="C51" s="263"/>
    </row>
    <row r="52" spans="1:3" ht="14.25" x14ac:dyDescent="0.2">
      <c r="A52" s="136"/>
      <c r="B52" s="154"/>
      <c r="C52" s="264"/>
    </row>
    <row r="53" spans="1:3" ht="14.25" x14ac:dyDescent="0.2">
      <c r="A53" s="136"/>
      <c r="B53" s="150"/>
      <c r="C53" s="263"/>
    </row>
    <row r="54" spans="1:3" ht="14.25" x14ac:dyDescent="0.2">
      <c r="A54" s="136"/>
      <c r="B54" s="154"/>
      <c r="C54" s="264"/>
    </row>
    <row r="55" spans="1:3" ht="14.25" x14ac:dyDescent="0.2">
      <c r="A55" s="136"/>
      <c r="B55" s="150"/>
      <c r="C55" s="263"/>
    </row>
    <row r="56" spans="1:3" ht="16.5" x14ac:dyDescent="0.2">
      <c r="A56" s="151"/>
    </row>
    <row r="59" spans="1:3" x14ac:dyDescent="0.2">
      <c r="A59" s="155"/>
    </row>
  </sheetData>
  <mergeCells count="1">
    <mergeCell ref="A7:C7"/>
  </mergeCells>
  <pageMargins left="0.90551181102362199" right="0.51181102362204722" top="0.74803149606299213" bottom="0.74803149606299213" header="0.31496062992125984" footer="0.31496062992125984"/>
  <pageSetup paperSize="9" orientation="portrait" verticalDpi="597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5"/>
  <sheetViews>
    <sheetView zoomScaleNormal="100" workbookViewId="0">
      <selection activeCell="A3" sqref="A3"/>
    </sheetView>
  </sheetViews>
  <sheetFormatPr defaultRowHeight="12.75" x14ac:dyDescent="0.2"/>
  <cols>
    <col min="1" max="1" width="8.5703125" style="1" customWidth="1"/>
    <col min="2" max="2" width="67.140625" style="1" customWidth="1"/>
    <col min="3" max="3" width="13.7109375" style="235" customWidth="1"/>
    <col min="4" max="4" width="10.28515625" style="1" customWidth="1"/>
    <col min="5" max="5" width="13.7109375" style="1" customWidth="1"/>
    <col min="6" max="16384" width="9.140625" style="1"/>
  </cols>
  <sheetData>
    <row r="1" spans="1:3" x14ac:dyDescent="0.2">
      <c r="A1" s="94" t="s">
        <v>220</v>
      </c>
    </row>
    <row r="3" spans="1:3" x14ac:dyDescent="0.2">
      <c r="A3" s="232" t="s">
        <v>273</v>
      </c>
    </row>
    <row r="5" spans="1:3" x14ac:dyDescent="0.2">
      <c r="A5" s="232" t="s">
        <v>272</v>
      </c>
    </row>
    <row r="6" spans="1:3" ht="13.5" thickBot="1" x14ac:dyDescent="0.25"/>
    <row r="7" spans="1:3" ht="18" x14ac:dyDescent="0.25">
      <c r="B7" s="494" t="s">
        <v>206</v>
      </c>
      <c r="C7" s="495"/>
    </row>
    <row r="8" spans="1:3" ht="15" x14ac:dyDescent="0.25">
      <c r="B8" s="126" t="s">
        <v>188</v>
      </c>
      <c r="C8" s="236"/>
    </row>
    <row r="9" spans="1:3" ht="15" x14ac:dyDescent="0.25">
      <c r="B9" s="127" t="s">
        <v>109</v>
      </c>
      <c r="C9" s="237">
        <v>2100</v>
      </c>
    </row>
    <row r="10" spans="1:3" ht="15" x14ac:dyDescent="0.25">
      <c r="B10" s="128" t="s">
        <v>110</v>
      </c>
      <c r="C10" s="237">
        <v>2031</v>
      </c>
    </row>
    <row r="11" spans="1:3" ht="14.25" x14ac:dyDescent="0.2">
      <c r="B11" s="156" t="s">
        <v>111</v>
      </c>
      <c r="C11" s="238">
        <v>44</v>
      </c>
    </row>
    <row r="12" spans="1:3" ht="14.25" x14ac:dyDescent="0.2">
      <c r="B12" s="156" t="s">
        <v>112</v>
      </c>
      <c r="C12" s="238">
        <v>1192</v>
      </c>
    </row>
    <row r="13" spans="1:3" ht="14.25" x14ac:dyDescent="0.2">
      <c r="B13" s="156" t="s">
        <v>113</v>
      </c>
      <c r="C13" s="238">
        <v>372</v>
      </c>
    </row>
    <row r="14" spans="1:3" ht="14.25" x14ac:dyDescent="0.2">
      <c r="B14" s="156" t="s">
        <v>114</v>
      </c>
      <c r="C14" s="238">
        <v>22</v>
      </c>
    </row>
    <row r="15" spans="1:3" ht="14.25" x14ac:dyDescent="0.2">
      <c r="B15" s="156" t="s">
        <v>115</v>
      </c>
      <c r="C15" s="238">
        <v>350</v>
      </c>
    </row>
    <row r="16" spans="1:3" ht="14.25" x14ac:dyDescent="0.2">
      <c r="B16" s="156" t="s">
        <v>116</v>
      </c>
      <c r="C16" s="238">
        <v>1</v>
      </c>
    </row>
    <row r="17" spans="1:5" ht="14.25" x14ac:dyDescent="0.2">
      <c r="B17" s="156" t="s">
        <v>117</v>
      </c>
      <c r="C17" s="238">
        <v>30</v>
      </c>
    </row>
    <row r="18" spans="1:5" ht="14.25" x14ac:dyDescent="0.2">
      <c r="B18" s="158" t="s">
        <v>118</v>
      </c>
      <c r="C18" s="239">
        <v>0</v>
      </c>
    </row>
    <row r="19" spans="1:5" ht="14.25" x14ac:dyDescent="0.2">
      <c r="B19" s="234" t="s">
        <v>268</v>
      </c>
      <c r="C19" s="239">
        <v>0</v>
      </c>
    </row>
    <row r="20" spans="1:5" ht="15" x14ac:dyDescent="0.25">
      <c r="A20" s="1" t="s">
        <v>119</v>
      </c>
      <c r="B20" s="126" t="s">
        <v>120</v>
      </c>
      <c r="C20" s="236"/>
    </row>
    <row r="21" spans="1:5" ht="14.25" x14ac:dyDescent="0.2">
      <c r="B21" s="159" t="s">
        <v>270</v>
      </c>
      <c r="C21" s="240">
        <v>4625</v>
      </c>
    </row>
    <row r="22" spans="1:5" ht="14.25" x14ac:dyDescent="0.2">
      <c r="B22" s="156" t="s">
        <v>271</v>
      </c>
      <c r="C22" s="238">
        <v>4694</v>
      </c>
    </row>
    <row r="23" spans="1:5" ht="14.25" x14ac:dyDescent="0.2">
      <c r="B23" s="156" t="s">
        <v>269</v>
      </c>
      <c r="C23" s="241">
        <f>C9-C10</f>
        <v>69</v>
      </c>
    </row>
    <row r="24" spans="1:5" ht="14.25" x14ac:dyDescent="0.2">
      <c r="B24" s="160"/>
      <c r="C24" s="242"/>
    </row>
    <row r="25" spans="1:5" s="94" customFormat="1" ht="15" x14ac:dyDescent="0.25">
      <c r="B25" s="127" t="s">
        <v>122</v>
      </c>
      <c r="C25" s="243">
        <f>MEDIAN(C21,C22)</f>
        <v>4659.5</v>
      </c>
    </row>
    <row r="26" spans="1:5" ht="15" x14ac:dyDescent="0.25">
      <c r="B26" s="128" t="s">
        <v>266</v>
      </c>
      <c r="C26" s="244">
        <f>C12/C25</f>
        <v>0.25582144006867691</v>
      </c>
    </row>
    <row r="27" spans="1:5" ht="15" x14ac:dyDescent="0.25">
      <c r="B27" s="128" t="s">
        <v>267</v>
      </c>
      <c r="C27" s="244">
        <f>MEDIAN(C9,C10)/C25</f>
        <v>0.44328790642772831</v>
      </c>
      <c r="E27" s="214"/>
    </row>
    <row r="28" spans="1:5" s="94" customFormat="1" ht="15" x14ac:dyDescent="0.25">
      <c r="B28" s="128" t="s">
        <v>226</v>
      </c>
      <c r="C28" s="245">
        <f>12/C27</f>
        <v>27.070442992011618</v>
      </c>
    </row>
    <row r="29" spans="1:5" ht="15" x14ac:dyDescent="0.25">
      <c r="B29" s="128" t="s">
        <v>121</v>
      </c>
      <c r="C29" s="246">
        <v>360</v>
      </c>
    </row>
    <row r="30" spans="1:5" ht="15" x14ac:dyDescent="0.25">
      <c r="B30" s="128" t="s">
        <v>221</v>
      </c>
      <c r="C30" s="246">
        <v>10</v>
      </c>
    </row>
    <row r="31" spans="1:5" ht="15" x14ac:dyDescent="0.25">
      <c r="B31" s="127" t="s">
        <v>222</v>
      </c>
      <c r="C31" s="247">
        <v>30</v>
      </c>
    </row>
    <row r="32" spans="1:5" ht="15" x14ac:dyDescent="0.25">
      <c r="B32" s="127" t="s">
        <v>223</v>
      </c>
      <c r="C32" s="247">
        <v>30</v>
      </c>
    </row>
    <row r="33" spans="2:4" s="94" customFormat="1" ht="15" x14ac:dyDescent="0.25">
      <c r="B33" s="127" t="s">
        <v>124</v>
      </c>
      <c r="C33" s="247">
        <f>30+(3*TRUNC(1/C27))</f>
        <v>36</v>
      </c>
    </row>
    <row r="34" spans="2:4" s="94" customFormat="1" ht="15" x14ac:dyDescent="0.25">
      <c r="B34" s="128" t="s">
        <v>35</v>
      </c>
      <c r="C34" s="248">
        <v>0.08</v>
      </c>
    </row>
    <row r="35" spans="2:4" s="94" customFormat="1" ht="15.75" thickBot="1" x14ac:dyDescent="0.3">
      <c r="B35" s="129" t="s">
        <v>123</v>
      </c>
      <c r="C35" s="249">
        <v>0.4</v>
      </c>
      <c r="D35" s="94" t="s">
        <v>274</v>
      </c>
    </row>
  </sheetData>
  <mergeCells count="1">
    <mergeCell ref="B7:C7"/>
  </mergeCells>
  <pageMargins left="0.90551181102362199" right="0.51181102362204722" top="0.74803149606299213" bottom="0.74803149606299213" header="0.31496062992125984" footer="0.31496062992125984"/>
  <pageSetup paperSize="9" scale="98" orientation="portrait" verticalDpi="597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4"/>
  <sheetViews>
    <sheetView showGridLines="0" zoomScaleNormal="100" workbookViewId="0">
      <selection activeCell="E25" sqref="E25"/>
    </sheetView>
  </sheetViews>
  <sheetFormatPr defaultRowHeight="12.75" x14ac:dyDescent="0.2"/>
  <cols>
    <col min="1" max="1" width="41.85546875" bestFit="1" customWidth="1"/>
    <col min="2" max="2" width="5.5703125" bestFit="1" customWidth="1"/>
    <col min="4" max="4" width="9.7109375" bestFit="1" customWidth="1"/>
    <col min="5" max="5" width="8" style="102" bestFit="1" customWidth="1"/>
    <col min="6" max="6" width="9.7109375" bestFit="1" customWidth="1"/>
  </cols>
  <sheetData>
    <row r="1" spans="1:8" s="119" customFormat="1" ht="14.25" x14ac:dyDescent="0.2">
      <c r="A1" s="11" t="s">
        <v>186</v>
      </c>
      <c r="B1" s="8"/>
      <c r="C1" s="8"/>
      <c r="E1" s="120"/>
    </row>
    <row r="2" spans="1:8" s="119" customFormat="1" ht="14.25" x14ac:dyDescent="0.2">
      <c r="A2" s="116" t="s">
        <v>227</v>
      </c>
      <c r="B2" s="8"/>
      <c r="C2" s="8"/>
      <c r="E2" s="120"/>
    </row>
    <row r="3" spans="1:8" s="119" customFormat="1" ht="14.25" x14ac:dyDescent="0.2">
      <c r="A3" s="9" t="s">
        <v>187</v>
      </c>
      <c r="B3" s="8"/>
      <c r="C3" s="8"/>
      <c r="E3" s="120"/>
    </row>
    <row r="4" spans="1:8" s="119" customFormat="1" ht="14.25" x14ac:dyDescent="0.2">
      <c r="A4" s="9"/>
      <c r="B4" s="8"/>
      <c r="C4" s="8"/>
      <c r="E4" s="120"/>
    </row>
    <row r="5" spans="1:8" s="4" customFormat="1" ht="15.6" customHeight="1" x14ac:dyDescent="0.2">
      <c r="A5" s="231" t="s">
        <v>265</v>
      </c>
      <c r="B5" s="5"/>
      <c r="C5" s="5"/>
      <c r="D5" s="5"/>
      <c r="E5" s="5"/>
      <c r="F5" s="5"/>
      <c r="G5" s="6"/>
    </row>
    <row r="6" spans="1:8" s="4" customFormat="1" ht="16.5" customHeight="1" x14ac:dyDescent="0.2">
      <c r="A6" s="231" t="s">
        <v>262</v>
      </c>
      <c r="B6" s="5"/>
      <c r="C6" s="5"/>
      <c r="D6" s="6"/>
      <c r="E6" s="6"/>
      <c r="F6" s="6"/>
      <c r="G6" s="6"/>
    </row>
    <row r="7" spans="1:8" s="119" customFormat="1" ht="15" thickBot="1" x14ac:dyDescent="0.25">
      <c r="B7" s="8"/>
      <c r="C7" s="8"/>
      <c r="E7" s="120"/>
    </row>
    <row r="8" spans="1:8" ht="15.75" x14ac:dyDescent="0.2">
      <c r="A8" s="501" t="s">
        <v>207</v>
      </c>
      <c r="B8" s="502"/>
      <c r="C8" s="502"/>
      <c r="D8" s="502"/>
      <c r="E8" s="502"/>
      <c r="F8" s="503"/>
    </row>
    <row r="9" spans="1:8" ht="16.5" thickBot="1" x14ac:dyDescent="0.25">
      <c r="A9" s="201"/>
      <c r="B9" s="202"/>
      <c r="C9" s="202"/>
      <c r="D9" s="202"/>
      <c r="E9" s="202"/>
      <c r="F9" s="203"/>
    </row>
    <row r="10" spans="1:8" ht="15" x14ac:dyDescent="0.25">
      <c r="A10" s="161"/>
      <c r="B10" s="8"/>
      <c r="C10" s="8"/>
      <c r="D10" s="498" t="s">
        <v>224</v>
      </c>
      <c r="E10" s="499"/>
      <c r="F10" s="500"/>
      <c r="G10" s="119"/>
      <c r="H10" s="119"/>
    </row>
    <row r="11" spans="1:8" ht="15" thickBot="1" x14ac:dyDescent="0.25">
      <c r="A11" s="160"/>
      <c r="B11" s="119"/>
      <c r="C11" s="119"/>
      <c r="D11" s="162" t="s">
        <v>174</v>
      </c>
      <c r="E11" s="163" t="s">
        <v>175</v>
      </c>
      <c r="F11" s="164" t="s">
        <v>176</v>
      </c>
      <c r="G11" s="119"/>
      <c r="H11" s="119"/>
    </row>
    <row r="12" spans="1:8" ht="14.25" x14ac:dyDescent="0.2">
      <c r="A12" s="165" t="s">
        <v>70</v>
      </c>
      <c r="B12" s="166" t="s">
        <v>71</v>
      </c>
      <c r="C12" s="167">
        <v>5.0799999999999998E-2</v>
      </c>
      <c r="D12" s="188">
        <v>2.9700000000000001E-2</v>
      </c>
      <c r="E12" s="189">
        <v>5.0799999999999998E-2</v>
      </c>
      <c r="F12" s="190">
        <v>6.2700000000000006E-2</v>
      </c>
      <c r="G12" s="119"/>
      <c r="H12" s="119"/>
    </row>
    <row r="13" spans="1:8" ht="14.25" x14ac:dyDescent="0.2">
      <c r="A13" s="169" t="s">
        <v>72</v>
      </c>
      <c r="B13" s="170" t="s">
        <v>73</v>
      </c>
      <c r="C13" s="171">
        <v>1.7100000000000001E-2</v>
      </c>
      <c r="D13" s="188">
        <f>0.3%+0.56%</f>
        <v>8.6E-3</v>
      </c>
      <c r="E13" s="189">
        <f>0.48%+0.85%</f>
        <v>1.3299999999999999E-2</v>
      </c>
      <c r="F13" s="190">
        <f>0.82%+0.89%</f>
        <v>1.7099999999999997E-2</v>
      </c>
      <c r="G13" s="119"/>
      <c r="H13" s="119"/>
    </row>
    <row r="14" spans="1:8" ht="14.25" x14ac:dyDescent="0.2">
      <c r="A14" s="169" t="s">
        <v>74</v>
      </c>
      <c r="B14" s="170" t="s">
        <v>75</v>
      </c>
      <c r="C14" s="171">
        <v>0.1085</v>
      </c>
      <c r="D14" s="188">
        <v>7.7799999999999994E-2</v>
      </c>
      <c r="E14" s="189">
        <v>0.1085</v>
      </c>
      <c r="F14" s="190">
        <v>0.13550000000000001</v>
      </c>
      <c r="G14" s="119"/>
      <c r="H14" s="119"/>
    </row>
    <row r="15" spans="1:8" ht="14.25" x14ac:dyDescent="0.2">
      <c r="A15" s="169" t="s">
        <v>76</v>
      </c>
      <c r="B15" s="170" t="s">
        <v>77</v>
      </c>
      <c r="C15" s="172">
        <f>(1+E15)^(E16/252)-1</f>
        <v>5.1255062445492161E-3</v>
      </c>
      <c r="D15" s="188" t="s">
        <v>257</v>
      </c>
      <c r="E15" s="173">
        <v>0.13750000000000001</v>
      </c>
      <c r="F15" s="168"/>
      <c r="G15" s="119"/>
      <c r="H15" s="119"/>
    </row>
    <row r="16" spans="1:8" ht="14.25" x14ac:dyDescent="0.2">
      <c r="A16" s="169" t="s">
        <v>78</v>
      </c>
      <c r="B16" s="496" t="s">
        <v>79</v>
      </c>
      <c r="C16" s="171">
        <v>0.03</v>
      </c>
      <c r="D16" s="230" t="s">
        <v>177</v>
      </c>
      <c r="E16" s="174">
        <v>10</v>
      </c>
      <c r="F16" s="175"/>
      <c r="G16" s="119"/>
      <c r="H16" s="119"/>
    </row>
    <row r="17" spans="1:8" ht="15" thickBot="1" x14ac:dyDescent="0.25">
      <c r="A17" s="176" t="s">
        <v>80</v>
      </c>
      <c r="B17" s="497"/>
      <c r="C17" s="177">
        <v>3.6499999999999998E-2</v>
      </c>
      <c r="D17" s="156"/>
      <c r="E17" s="178"/>
      <c r="F17" s="175"/>
      <c r="G17" s="119"/>
      <c r="H17" s="119"/>
    </row>
    <row r="18" spans="1:8" ht="14.25" x14ac:dyDescent="0.2">
      <c r="A18" s="179" t="s">
        <v>81</v>
      </c>
      <c r="B18" s="180"/>
      <c r="C18" s="181"/>
      <c r="D18" s="156"/>
      <c r="E18" s="178"/>
      <c r="F18" s="175"/>
      <c r="G18" s="119"/>
      <c r="H18" s="119"/>
    </row>
    <row r="19" spans="1:8" ht="15" thickBot="1" x14ac:dyDescent="0.25">
      <c r="A19" s="182" t="s">
        <v>82</v>
      </c>
      <c r="B19" s="183"/>
      <c r="C19" s="184"/>
      <c r="D19" s="156"/>
      <c r="E19" s="178"/>
      <c r="F19" s="175"/>
      <c r="G19" s="119"/>
      <c r="H19" s="119"/>
    </row>
    <row r="20" spans="1:8" ht="15.75" thickBot="1" x14ac:dyDescent="0.25">
      <c r="A20" s="185" t="s">
        <v>83</v>
      </c>
      <c r="B20" s="186"/>
      <c r="C20" s="187">
        <f>ROUND((((1+C12+C13)*(1+C14)*(1+C15))/(1-(C16+C17))-1),4)</f>
        <v>0.27460000000000001</v>
      </c>
      <c r="D20" s="191">
        <v>0.21429999999999999</v>
      </c>
      <c r="E20" s="192">
        <v>0.2717</v>
      </c>
      <c r="F20" s="193">
        <v>0.3362</v>
      </c>
      <c r="G20" s="119"/>
      <c r="H20" s="119"/>
    </row>
    <row r="21" spans="1:8" ht="14.25" x14ac:dyDescent="0.2">
      <c r="A21" s="119"/>
      <c r="B21" s="119"/>
      <c r="C21" s="119"/>
      <c r="D21" s="119"/>
      <c r="E21" s="120"/>
      <c r="F21" s="119"/>
      <c r="G21" s="119"/>
      <c r="H21" s="119"/>
    </row>
    <row r="22" spans="1:8" ht="14.25" x14ac:dyDescent="0.2">
      <c r="A22" s="119"/>
      <c r="B22" s="119"/>
      <c r="C22" s="119"/>
      <c r="D22" s="119"/>
      <c r="E22" s="120"/>
      <c r="F22" s="119"/>
      <c r="G22" s="119"/>
      <c r="H22" s="119"/>
    </row>
    <row r="23" spans="1:8" ht="14.25" x14ac:dyDescent="0.2">
      <c r="A23" s="119"/>
      <c r="B23" s="119"/>
      <c r="C23" s="119"/>
      <c r="D23" s="119"/>
      <c r="E23" s="120"/>
      <c r="F23" s="119"/>
      <c r="G23" s="119"/>
      <c r="H23" s="119"/>
    </row>
    <row r="24" spans="1:8" ht="14.25" x14ac:dyDescent="0.2">
      <c r="A24" s="119"/>
      <c r="B24" s="119"/>
      <c r="C24" s="119"/>
      <c r="D24" s="119"/>
      <c r="E24" s="120"/>
      <c r="F24" s="119"/>
      <c r="G24" s="119"/>
      <c r="H24" s="119"/>
    </row>
  </sheetData>
  <mergeCells count="3">
    <mergeCell ref="B16:B17"/>
    <mergeCell ref="D10:F10"/>
    <mergeCell ref="A8:F8"/>
  </mergeCells>
  <pageMargins left="0.90551181102362199" right="0.51181102362204722" top="0.74803149606299213" bottom="0.74803149606299213" header="0.31496062992125984" footer="0.31496062992125984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7"/>
  <sheetViews>
    <sheetView workbookViewId="0">
      <selection sqref="A1:B17"/>
    </sheetView>
  </sheetViews>
  <sheetFormatPr defaultRowHeight="19.5" customHeight="1" x14ac:dyDescent="0.2"/>
  <cols>
    <col min="1" max="1" width="24.5703125" style="1" customWidth="1"/>
    <col min="2" max="2" width="20.85546875" style="1" customWidth="1"/>
    <col min="3" max="16384" width="9.140625" style="1"/>
  </cols>
  <sheetData>
    <row r="1" spans="1:2" ht="19.5" customHeight="1" thickBot="1" x14ac:dyDescent="0.25">
      <c r="A1" s="504" t="s">
        <v>209</v>
      </c>
      <c r="B1" s="505"/>
    </row>
    <row r="2" spans="1:2" s="94" customFormat="1" ht="19.5" customHeight="1" x14ac:dyDescent="0.2">
      <c r="A2" s="204" t="s">
        <v>189</v>
      </c>
      <c r="B2" s="205" t="s">
        <v>259</v>
      </c>
    </row>
    <row r="3" spans="1:2" ht="19.5" customHeight="1" x14ac:dyDescent="0.2">
      <c r="A3" s="131">
        <v>1</v>
      </c>
      <c r="B3" s="130">
        <v>33.629999999999995</v>
      </c>
    </row>
    <row r="4" spans="1:2" ht="19.5" customHeight="1" x14ac:dyDescent="0.2">
      <c r="A4" s="131">
        <v>2</v>
      </c>
      <c r="B4" s="130">
        <v>43.13</v>
      </c>
    </row>
    <row r="5" spans="1:2" ht="19.5" customHeight="1" x14ac:dyDescent="0.2">
      <c r="A5" s="131">
        <v>3</v>
      </c>
      <c r="B5" s="130">
        <v>48.68</v>
      </c>
    </row>
    <row r="6" spans="1:2" ht="19.5" customHeight="1" x14ac:dyDescent="0.2">
      <c r="A6" s="131">
        <v>4</v>
      </c>
      <c r="B6" s="130">
        <v>52.62</v>
      </c>
    </row>
    <row r="7" spans="1:2" ht="19.5" customHeight="1" x14ac:dyDescent="0.2">
      <c r="A7" s="131">
        <v>5</v>
      </c>
      <c r="B7" s="130">
        <v>55.679999999999993</v>
      </c>
    </row>
    <row r="8" spans="1:2" ht="19.5" customHeight="1" x14ac:dyDescent="0.2">
      <c r="A8" s="131">
        <v>6</v>
      </c>
      <c r="B8" s="130">
        <v>58.18</v>
      </c>
    </row>
    <row r="9" spans="1:2" ht="19.5" customHeight="1" x14ac:dyDescent="0.2">
      <c r="A9" s="131">
        <v>7</v>
      </c>
      <c r="B9" s="130">
        <v>60.29</v>
      </c>
    </row>
    <row r="10" spans="1:2" ht="19.5" customHeight="1" x14ac:dyDescent="0.2">
      <c r="A10" s="131">
        <v>8</v>
      </c>
      <c r="B10" s="130">
        <v>62.12</v>
      </c>
    </row>
    <row r="11" spans="1:2" ht="19.5" customHeight="1" x14ac:dyDescent="0.2">
      <c r="A11" s="131">
        <v>9</v>
      </c>
      <c r="B11" s="130">
        <v>63.73</v>
      </c>
    </row>
    <row r="12" spans="1:2" ht="19.5" customHeight="1" x14ac:dyDescent="0.2">
      <c r="A12" s="131">
        <v>10</v>
      </c>
      <c r="B12" s="130">
        <v>65.180000000000007</v>
      </c>
    </row>
    <row r="13" spans="1:2" ht="19.5" customHeight="1" x14ac:dyDescent="0.2">
      <c r="A13" s="131">
        <v>11</v>
      </c>
      <c r="B13" s="130">
        <v>66.47999999999999</v>
      </c>
    </row>
    <row r="14" spans="1:2" ht="19.5" customHeight="1" x14ac:dyDescent="0.2">
      <c r="A14" s="131">
        <v>12</v>
      </c>
      <c r="B14" s="130">
        <v>67.67</v>
      </c>
    </row>
    <row r="15" spans="1:2" ht="19.5" customHeight="1" x14ac:dyDescent="0.2">
      <c r="A15" s="131">
        <v>13</v>
      </c>
      <c r="B15" s="130">
        <v>68.77</v>
      </c>
    </row>
    <row r="16" spans="1:2" ht="19.5" customHeight="1" x14ac:dyDescent="0.2">
      <c r="A16" s="131">
        <v>14</v>
      </c>
      <c r="B16" s="130">
        <v>69.789999999999992</v>
      </c>
    </row>
    <row r="17" spans="1:2" ht="19.5" customHeight="1" thickBot="1" x14ac:dyDescent="0.25">
      <c r="A17" s="132">
        <v>15</v>
      </c>
      <c r="B17" s="133">
        <v>70.73</v>
      </c>
    </row>
  </sheetData>
  <mergeCells count="1">
    <mergeCell ref="A1:B1"/>
  </mergeCells>
  <pageMargins left="0.90551181102362199" right="0.51181102362204722" top="0.74803149606299213" bottom="0.74803149606299213" header="0.31496062992125984" footer="0.31496062992125984"/>
  <pageSetup paperSize="9" orientation="portrait" verticalDpi="597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17"/>
  <sheetViews>
    <sheetView workbookViewId="0">
      <selection activeCell="A13" sqref="A13"/>
    </sheetView>
  </sheetViews>
  <sheetFormatPr defaultRowHeight="12.75" x14ac:dyDescent="0.2"/>
  <cols>
    <col min="1" max="1" width="70.42578125" style="1" customWidth="1"/>
    <col min="2" max="3" width="9.140625" style="1"/>
    <col min="4" max="4" width="12.85546875" style="1" bestFit="1" customWidth="1"/>
    <col min="5" max="16384" width="9.140625" style="1"/>
  </cols>
  <sheetData>
    <row r="1" spans="1:1" ht="18" x14ac:dyDescent="0.25">
      <c r="A1" s="197" t="s">
        <v>213</v>
      </c>
    </row>
    <row r="2" spans="1:1" x14ac:dyDescent="0.2">
      <c r="A2" s="194"/>
    </row>
    <row r="3" spans="1:1" x14ac:dyDescent="0.2">
      <c r="A3" s="194" t="s">
        <v>228</v>
      </c>
    </row>
    <row r="4" spans="1:1" x14ac:dyDescent="0.2">
      <c r="A4" s="194"/>
    </row>
    <row r="5" spans="1:1" x14ac:dyDescent="0.2">
      <c r="A5" s="194"/>
    </row>
    <row r="6" spans="1:1" x14ac:dyDescent="0.2">
      <c r="A6" s="194"/>
    </row>
    <row r="7" spans="1:1" x14ac:dyDescent="0.2">
      <c r="A7" s="194"/>
    </row>
    <row r="8" spans="1:1" x14ac:dyDescent="0.2">
      <c r="A8" s="194"/>
    </row>
    <row r="9" spans="1:1" x14ac:dyDescent="0.2">
      <c r="A9" s="194"/>
    </row>
    <row r="10" spans="1:1" x14ac:dyDescent="0.2">
      <c r="A10" s="194"/>
    </row>
    <row r="11" spans="1:1" x14ac:dyDescent="0.2">
      <c r="A11" s="194"/>
    </row>
    <row r="12" spans="1:1" ht="19.5" x14ac:dyDescent="0.35">
      <c r="A12" s="195" t="s">
        <v>210</v>
      </c>
    </row>
    <row r="13" spans="1:1" ht="15" x14ac:dyDescent="0.2">
      <c r="A13" s="195" t="s">
        <v>95</v>
      </c>
    </row>
    <row r="14" spans="1:1" ht="15" x14ac:dyDescent="0.2">
      <c r="A14" s="195" t="s">
        <v>100</v>
      </c>
    </row>
    <row r="15" spans="1:1" ht="19.5" x14ac:dyDescent="0.35">
      <c r="A15" s="195" t="s">
        <v>211</v>
      </c>
    </row>
    <row r="16" spans="1:1" ht="19.5" x14ac:dyDescent="0.35">
      <c r="A16" s="195" t="s">
        <v>212</v>
      </c>
    </row>
    <row r="17" spans="1:1" ht="15.75" thickBot="1" x14ac:dyDescent="0.25">
      <c r="A17" s="196" t="s">
        <v>96</v>
      </c>
    </row>
  </sheetData>
  <pageMargins left="0.90551181102362199" right="0.51181102362204722" top="0.74803149606299213" bottom="0.74803149606299213" header="0.31496062992125984" footer="0.31496062992125984"/>
  <pageSetup paperSize="9" orientation="portrait" verticalDpi="597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4"/>
  <sheetViews>
    <sheetView topLeftCell="A7" zoomScaleNormal="100" workbookViewId="0">
      <selection activeCell="C17" sqref="C17"/>
    </sheetView>
  </sheetViews>
  <sheetFormatPr defaultRowHeight="12.75" x14ac:dyDescent="0.2"/>
  <cols>
    <col min="1" max="1" width="58.28515625" style="214" customWidth="1"/>
    <col min="2" max="2" width="11.140625" style="439" bestFit="1" customWidth="1"/>
    <col min="3" max="3" width="11.28515625" style="214" bestFit="1" customWidth="1"/>
    <col min="4" max="16384" width="9.140625" style="214"/>
  </cols>
  <sheetData>
    <row r="1" spans="1:7" x14ac:dyDescent="0.2">
      <c r="A1" s="11" t="s">
        <v>186</v>
      </c>
    </row>
    <row r="2" spans="1:7" x14ac:dyDescent="0.2">
      <c r="A2" s="219" t="s">
        <v>235</v>
      </c>
    </row>
    <row r="3" spans="1:7" x14ac:dyDescent="0.2">
      <c r="A3" s="219" t="s">
        <v>260</v>
      </c>
    </row>
    <row r="4" spans="1:7" x14ac:dyDescent="0.2">
      <c r="A4" s="7" t="s">
        <v>258</v>
      </c>
    </row>
    <row r="5" spans="1:7" x14ac:dyDescent="0.2">
      <c r="A5" s="7"/>
    </row>
    <row r="6" spans="1:7" s="4" customFormat="1" ht="15.6" customHeight="1" x14ac:dyDescent="0.2">
      <c r="A6" s="231" t="s">
        <v>265</v>
      </c>
      <c r="B6" s="256"/>
      <c r="C6" s="5"/>
      <c r="D6" s="5"/>
      <c r="E6" s="5"/>
      <c r="F6" s="5"/>
      <c r="G6" s="6"/>
    </row>
    <row r="7" spans="1:7" s="4" customFormat="1" ht="16.5" customHeight="1" x14ac:dyDescent="0.2">
      <c r="A7" s="231" t="s">
        <v>262</v>
      </c>
      <c r="B7" s="256"/>
      <c r="C7" s="5"/>
      <c r="D7" s="6"/>
      <c r="E7" s="6"/>
      <c r="F7" s="6"/>
      <c r="G7" s="6"/>
    </row>
    <row r="8" spans="1:7" ht="13.5" thickBot="1" x14ac:dyDescent="0.25"/>
    <row r="9" spans="1:7" ht="18" x14ac:dyDescent="0.25">
      <c r="A9" s="506" t="s">
        <v>275</v>
      </c>
      <c r="B9" s="507"/>
      <c r="C9" s="508"/>
    </row>
    <row r="10" spans="1:7" ht="18" x14ac:dyDescent="0.25">
      <c r="A10" s="227"/>
      <c r="B10" s="226"/>
      <c r="C10" s="228"/>
    </row>
    <row r="11" spans="1:7" s="94" customFormat="1" ht="15" x14ac:dyDescent="0.25">
      <c r="A11" s="220" t="s">
        <v>255</v>
      </c>
      <c r="B11" s="440" t="s">
        <v>236</v>
      </c>
      <c r="C11" s="221" t="s">
        <v>127</v>
      </c>
    </row>
    <row r="12" spans="1:7" ht="14.25" x14ac:dyDescent="0.2">
      <c r="A12" s="156" t="s">
        <v>244</v>
      </c>
      <c r="B12" s="178" t="s">
        <v>237</v>
      </c>
      <c r="C12" s="157">
        <v>5518</v>
      </c>
    </row>
    <row r="13" spans="1:7" ht="14.25" x14ac:dyDescent="0.2">
      <c r="A13" s="156" t="s">
        <v>245</v>
      </c>
      <c r="B13" s="178" t="s">
        <v>242</v>
      </c>
      <c r="C13" s="250">
        <v>0.35</v>
      </c>
    </row>
    <row r="14" spans="1:7" ht="14.25" x14ac:dyDescent="0.2">
      <c r="A14" s="156" t="s">
        <v>246</v>
      </c>
      <c r="B14" s="178" t="s">
        <v>243</v>
      </c>
      <c r="C14" s="222">
        <f>C12*C13/1000</f>
        <v>1.9313</v>
      </c>
    </row>
    <row r="15" spans="1:7" ht="14.25" x14ac:dyDescent="0.2">
      <c r="A15" s="156" t="s">
        <v>252</v>
      </c>
      <c r="B15" s="178" t="s">
        <v>238</v>
      </c>
      <c r="C15" s="251">
        <f>(C14*30)</f>
        <v>57.939</v>
      </c>
    </row>
    <row r="16" spans="1:7" ht="14.25" x14ac:dyDescent="0.2">
      <c r="A16" s="156" t="s">
        <v>248</v>
      </c>
      <c r="B16" s="178" t="s">
        <v>87</v>
      </c>
      <c r="C16" s="224">
        <v>5</v>
      </c>
    </row>
    <row r="17" spans="1:3" ht="14.25" x14ac:dyDescent="0.2">
      <c r="A17" s="156" t="s">
        <v>247</v>
      </c>
      <c r="B17" s="178" t="s">
        <v>243</v>
      </c>
      <c r="C17" s="222">
        <f>IFERROR(C14*7/C16,0)</f>
        <v>2.7038199999999999</v>
      </c>
    </row>
    <row r="18" spans="1:3" ht="14.25" x14ac:dyDescent="0.2">
      <c r="A18" s="156" t="s">
        <v>239</v>
      </c>
      <c r="B18" s="178" t="s">
        <v>240</v>
      </c>
      <c r="C18" s="175">
        <v>180</v>
      </c>
    </row>
    <row r="19" spans="1:3" ht="14.25" x14ac:dyDescent="0.2">
      <c r="A19" s="156" t="s">
        <v>253</v>
      </c>
      <c r="B19" s="178"/>
      <c r="C19" s="157">
        <v>1</v>
      </c>
    </row>
    <row r="20" spans="1:3" ht="14.25" x14ac:dyDescent="0.2">
      <c r="A20" s="156" t="s">
        <v>254</v>
      </c>
      <c r="B20" s="178" t="s">
        <v>241</v>
      </c>
      <c r="C20" s="157">
        <v>12</v>
      </c>
    </row>
    <row r="21" spans="1:3" ht="14.25" x14ac:dyDescent="0.2">
      <c r="A21" s="156" t="s">
        <v>249</v>
      </c>
      <c r="B21" s="178" t="s">
        <v>238</v>
      </c>
      <c r="C21" s="175">
        <f>IF(AND(C20&gt;=15,C19=1),5.8,C20/2)</f>
        <v>6</v>
      </c>
    </row>
    <row r="22" spans="1:3" ht="14.25" x14ac:dyDescent="0.2">
      <c r="A22" s="156" t="s">
        <v>250</v>
      </c>
      <c r="B22" s="178"/>
      <c r="C22" s="222">
        <f>IFERROR(C17/C21,0)</f>
        <v>0.45063666666666663</v>
      </c>
    </row>
    <row r="23" spans="1:3" ht="14.25" x14ac:dyDescent="0.2">
      <c r="A23" s="156" t="s">
        <v>256</v>
      </c>
      <c r="B23" s="178"/>
      <c r="C23" s="229">
        <v>1</v>
      </c>
    </row>
    <row r="24" spans="1:3" ht="15" thickBot="1" x14ac:dyDescent="0.25">
      <c r="A24" s="223" t="s">
        <v>251</v>
      </c>
      <c r="B24" s="441"/>
      <c r="C24" s="225">
        <f>IFERROR(C22/C23,0)</f>
        <v>0.45063666666666663</v>
      </c>
    </row>
  </sheetData>
  <mergeCells count="1">
    <mergeCell ref="A9:C9"/>
  </mergeCells>
  <conditionalFormatting sqref="C21">
    <cfRule type="expression" dxfId="0" priority="1">
      <formula>"SE(E(C20&gt;=15;C19=1))"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11</vt:i4>
      </vt:variant>
    </vt:vector>
  </HeadingPairs>
  <TitlesOfParts>
    <vt:vector size="19" baseType="lpstr">
      <vt:lpstr>Plan Diversas</vt:lpstr>
      <vt:lpstr>1. Coleta Domiciliar</vt:lpstr>
      <vt:lpstr>2.Encargos Sociais</vt:lpstr>
      <vt:lpstr>3.CAGED</vt:lpstr>
      <vt:lpstr>4.BDI</vt:lpstr>
      <vt:lpstr>5. Depreciação</vt:lpstr>
      <vt:lpstr>6.Remuneração de capital</vt:lpstr>
      <vt:lpstr>7. Dimensionamento</vt:lpstr>
      <vt:lpstr>AbaDeprec</vt:lpstr>
      <vt:lpstr>AbaRemun</vt:lpstr>
      <vt:lpstr>'1. Coleta Domiciliar'!Area_de_impressao</vt:lpstr>
      <vt:lpstr>'2.Encargos Sociais'!Area_de_impressao</vt:lpstr>
      <vt:lpstr>DiasColetaPorSemana_Organicos</vt:lpstr>
      <vt:lpstr>DiasColetaPorSemana_Reciclaveis</vt:lpstr>
      <vt:lpstr>DiasColetaPorSemanaTOTAL</vt:lpstr>
      <vt:lpstr>DistanciaMensal_ColetasRoteiro1</vt:lpstr>
      <vt:lpstr>DistanciaMensal_ColetasRoteiro2</vt:lpstr>
      <vt:lpstr>DMT_Transporte</vt:lpstr>
      <vt:lpstr>Semanas_Mes_Média</vt:lpstr>
    </vt:vector>
  </TitlesOfParts>
  <Company>dmlu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de Custos Coleta e Transporte RSU</dc:title>
  <dc:creator>Flavia Burmeister Martins</dc:creator>
  <cp:lastModifiedBy>Patricia</cp:lastModifiedBy>
  <cp:lastPrinted>2023-07-03T23:30:00Z</cp:lastPrinted>
  <dcterms:created xsi:type="dcterms:W3CDTF">2000-12-13T10:02:50Z</dcterms:created>
  <dcterms:modified xsi:type="dcterms:W3CDTF">2023-10-19T15:05:57Z</dcterms:modified>
</cp:coreProperties>
</file>